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anssassenburg/Library/CloudStorage/Dropbox/X_Private/20_Astronomy/Morsels/"/>
    </mc:Choice>
  </mc:AlternateContent>
  <xr:revisionPtr revIDLastSave="0" documentId="13_ncr:1_{F8CB91E8-D43C-7A43-9453-F90181874A1F}" xr6:coauthVersionLast="47" xr6:coauthVersionMax="47" xr10:uidLastSave="{00000000-0000-0000-0000-000000000000}"/>
  <bookViews>
    <workbookView xWindow="7140" yWindow="5660" windowWidth="27080" windowHeight="20460" xr2:uid="{00000000-000D-0000-FFFF-FFFF00000000}"/>
  </bookViews>
  <sheets>
    <sheet name="Introduction" sheetId="3" r:id="rId1"/>
    <sheet name="Moon Position" sheetId="7" r:id="rId2"/>
    <sheet name="Background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7" l="1"/>
  <c r="C12" i="7" l="1"/>
  <c r="AH8" i="7" l="1"/>
  <c r="AH9" i="7"/>
  <c r="AH10" i="7"/>
  <c r="AH11" i="7"/>
  <c r="AH12" i="7"/>
  <c r="AH13" i="7"/>
  <c r="AH14" i="7"/>
  <c r="AH15" i="7"/>
  <c r="AH16" i="7"/>
  <c r="AH18" i="7"/>
  <c r="AH19" i="7"/>
  <c r="AH25" i="7"/>
  <c r="AH27" i="7"/>
  <c r="AH29" i="7"/>
  <c r="AH33" i="7"/>
  <c r="AH34" i="7"/>
  <c r="AH35" i="7"/>
  <c r="AH36" i="7"/>
  <c r="AH37" i="7"/>
  <c r="AH38" i="7"/>
  <c r="AH39" i="7"/>
  <c r="AH40" i="7"/>
  <c r="AH42" i="7"/>
  <c r="AH43" i="7"/>
  <c r="AH44" i="7"/>
  <c r="AH45" i="7"/>
  <c r="AH48" i="7"/>
  <c r="AH51" i="7"/>
  <c r="AH57" i="7"/>
  <c r="AH60" i="7"/>
  <c r="AH62" i="7"/>
  <c r="AH63" i="7"/>
  <c r="AH64" i="7"/>
  <c r="AH7" i="7"/>
  <c r="W8" i="7"/>
  <c r="X8" i="7"/>
  <c r="W9" i="7"/>
  <c r="X9" i="7"/>
  <c r="W10" i="7"/>
  <c r="X10" i="7"/>
  <c r="W12" i="7"/>
  <c r="X12" i="7"/>
  <c r="W13" i="7"/>
  <c r="X13" i="7"/>
  <c r="W15" i="7"/>
  <c r="X15" i="7"/>
  <c r="W18" i="7"/>
  <c r="X18" i="7"/>
  <c r="W20" i="7"/>
  <c r="X20" i="7"/>
  <c r="W21" i="7"/>
  <c r="X21" i="7"/>
  <c r="W22" i="7"/>
  <c r="X22" i="7"/>
  <c r="W23" i="7"/>
  <c r="X23" i="7"/>
  <c r="W24" i="7"/>
  <c r="X24" i="7"/>
  <c r="W25" i="7"/>
  <c r="X25" i="7"/>
  <c r="W28" i="7"/>
  <c r="X28" i="7"/>
  <c r="W31" i="7"/>
  <c r="X31" i="7"/>
  <c r="W32" i="7"/>
  <c r="X32" i="7"/>
  <c r="W33" i="7"/>
  <c r="X33" i="7"/>
  <c r="W35" i="7"/>
  <c r="X35" i="7"/>
  <c r="W37" i="7"/>
  <c r="X37" i="7"/>
  <c r="W42" i="7"/>
  <c r="X42" i="7"/>
  <c r="W43" i="7"/>
  <c r="X43" i="7"/>
  <c r="W45" i="7"/>
  <c r="X45" i="7"/>
  <c r="W46" i="7"/>
  <c r="X46" i="7"/>
  <c r="W53" i="7"/>
  <c r="X53" i="7"/>
  <c r="W54" i="7"/>
  <c r="X54" i="7"/>
  <c r="W56" i="7"/>
  <c r="X56" i="7"/>
  <c r="W58" i="7"/>
  <c r="X58" i="7"/>
  <c r="W60" i="7"/>
  <c r="X60" i="7"/>
  <c r="W61" i="7"/>
  <c r="X61" i="7"/>
  <c r="W65" i="7"/>
  <c r="X65" i="7"/>
  <c r="W66" i="7"/>
  <c r="X66" i="7"/>
  <c r="N4" i="7"/>
  <c r="X7" i="7"/>
  <c r="W7" i="7"/>
  <c r="C5" i="7" l="1"/>
  <c r="C6" i="7" s="1"/>
  <c r="C8" i="7" s="1"/>
  <c r="C9" i="7" s="1"/>
  <c r="C24" i="7" l="1"/>
  <c r="C25" i="7" s="1"/>
  <c r="C10" i="7"/>
  <c r="C7" i="7"/>
  <c r="N30" i="7" l="1"/>
  <c r="N29" i="7"/>
  <c r="N32" i="7"/>
  <c r="N12" i="7"/>
  <c r="N13" i="7"/>
  <c r="W11" i="7" s="1"/>
  <c r="N10" i="7"/>
  <c r="N9" i="7"/>
  <c r="N8" i="7"/>
  <c r="N6" i="7"/>
  <c r="N31" i="7"/>
  <c r="N35" i="7" s="1"/>
  <c r="N39" i="7" s="1"/>
  <c r="N7" i="7"/>
  <c r="N5" i="7"/>
  <c r="N11" i="7"/>
  <c r="N45" i="7" l="1"/>
  <c r="N46" i="7" s="1"/>
  <c r="F29" i="7" s="1"/>
  <c r="Z25" i="7"/>
  <c r="N21" i="7"/>
  <c r="AI57" i="7"/>
  <c r="AI36" i="7"/>
  <c r="AI64" i="7"/>
  <c r="AH32" i="7"/>
  <c r="AI32" i="7" s="1"/>
  <c r="AH47" i="7"/>
  <c r="W19" i="7"/>
  <c r="Y19" i="7" s="1"/>
  <c r="W17" i="7"/>
  <c r="Y17" i="7" s="1"/>
  <c r="W30" i="7"/>
  <c r="Y30" i="7" s="1"/>
  <c r="AH26" i="7"/>
  <c r="AI26" i="7" s="1"/>
  <c r="W62" i="7"/>
  <c r="Y62" i="7" s="1"/>
  <c r="AH65" i="7"/>
  <c r="AI65" i="7" s="1"/>
  <c r="AH55" i="7"/>
  <c r="AI55" i="7" s="1"/>
  <c r="X57" i="7"/>
  <c r="Z57" i="7" s="1"/>
  <c r="W55" i="7"/>
  <c r="Y55" i="7" s="1"/>
  <c r="W57" i="7"/>
  <c r="Y57" i="7" s="1"/>
  <c r="X26" i="7"/>
  <c r="Z26" i="7" s="1"/>
  <c r="W59" i="7"/>
  <c r="Y59" i="7" s="1"/>
  <c r="AH30" i="7"/>
  <c r="AI30" i="7" s="1"/>
  <c r="AH58" i="7"/>
  <c r="AI58" i="7" s="1"/>
  <c r="X14" i="7"/>
  <c r="Z14" i="7" s="1"/>
  <c r="W26" i="7"/>
  <c r="Y26" i="7" s="1"/>
  <c r="AH61" i="7"/>
  <c r="AI61" i="7" s="1"/>
  <c r="X44" i="7"/>
  <c r="Z44" i="7" s="1"/>
  <c r="W44" i="7"/>
  <c r="Y44" i="7" s="1"/>
  <c r="W29" i="7"/>
  <c r="Y29" i="7" s="1"/>
  <c r="AH17" i="7"/>
  <c r="AI17" i="7" s="1"/>
  <c r="AH24" i="7"/>
  <c r="AI24" i="7" s="1"/>
  <c r="X34" i="7"/>
  <c r="Z34" i="7" s="1"/>
  <c r="AH22" i="7"/>
  <c r="AI22" i="7" s="1"/>
  <c r="X59" i="7"/>
  <c r="Z59" i="7" s="1"/>
  <c r="W48" i="7"/>
  <c r="Y48" i="7" s="1"/>
  <c r="AH41" i="7"/>
  <c r="AI41" i="7" s="1"/>
  <c r="AH31" i="7"/>
  <c r="AI31" i="7" s="1"/>
  <c r="W39" i="7"/>
  <c r="Y39" i="7" s="1"/>
  <c r="X30" i="7"/>
  <c r="Z30" i="7" s="1"/>
  <c r="X27" i="7"/>
  <c r="Z27" i="7" s="1"/>
  <c r="W34" i="7"/>
  <c r="Y34" i="7" s="1"/>
  <c r="AH46" i="7"/>
  <c r="AI46" i="7" s="1"/>
  <c r="AH28" i="7"/>
  <c r="AI28" i="7" s="1"/>
  <c r="W16" i="7"/>
  <c r="Y16" i="7" s="1"/>
  <c r="W52" i="7"/>
  <c r="Y52" i="7" s="1"/>
  <c r="N34" i="7"/>
  <c r="W64" i="7"/>
  <c r="Y64" i="7" s="1"/>
  <c r="X62" i="7"/>
  <c r="Z62" i="7" s="1"/>
  <c r="X52" i="7"/>
  <c r="Z52" i="7" s="1"/>
  <c r="W47" i="7"/>
  <c r="Y47" i="7" s="1"/>
  <c r="AI45" i="7"/>
  <c r="AH52" i="7"/>
  <c r="AI52" i="7" s="1"/>
  <c r="AH56" i="7"/>
  <c r="AI56" i="7" s="1"/>
  <c r="X11" i="7"/>
  <c r="Z11" i="7" s="1"/>
  <c r="AH23" i="7"/>
  <c r="AI23" i="7" s="1"/>
  <c r="AH21" i="7"/>
  <c r="AI21" i="7" s="1"/>
  <c r="X39" i="7"/>
  <c r="Z39" i="7" s="1"/>
  <c r="W14" i="7"/>
  <c r="Y14" i="7" s="1"/>
  <c r="N14" i="7"/>
  <c r="X40" i="7" s="1"/>
  <c r="Z40" i="7" s="1"/>
  <c r="AI18" i="7"/>
  <c r="AI38" i="7"/>
  <c r="Z7" i="7"/>
  <c r="Y23" i="7"/>
  <c r="AI42" i="7"/>
  <c r="Z32" i="7"/>
  <c r="Y13" i="7"/>
  <c r="Y7" i="7"/>
  <c r="AH54" i="7"/>
  <c r="AI54" i="7" s="1"/>
  <c r="X47" i="7"/>
  <c r="Z47" i="7" s="1"/>
  <c r="Z31" i="7"/>
  <c r="AI10" i="7"/>
  <c r="AH59" i="7"/>
  <c r="AI59" i="7" s="1"/>
  <c r="X55" i="7"/>
  <c r="Z55" i="7" s="1"/>
  <c r="X19" i="7"/>
  <c r="Z19" i="7" s="1"/>
  <c r="AH53" i="7"/>
  <c r="AI53" i="7" s="1"/>
  <c r="Z20" i="7"/>
  <c r="AH49" i="7"/>
  <c r="AI49" i="7" s="1"/>
  <c r="X36" i="7"/>
  <c r="Z36" i="7" s="1"/>
  <c r="W51" i="7"/>
  <c r="Y51" i="7" s="1"/>
  <c r="X51" i="7"/>
  <c r="Z51" i="7" s="1"/>
  <c r="Y9" i="7"/>
  <c r="Z12" i="7"/>
  <c r="Z8" i="7"/>
  <c r="AI51" i="7"/>
  <c r="AI14" i="7"/>
  <c r="Y53" i="7"/>
  <c r="Z37" i="7"/>
  <c r="AI8" i="7"/>
  <c r="Z15" i="7"/>
  <c r="N17" i="7"/>
  <c r="Z22" i="7"/>
  <c r="AI43" i="7"/>
  <c r="Z45" i="7"/>
  <c r="Y11" i="7"/>
  <c r="Y60" i="7"/>
  <c r="Z58" i="7"/>
  <c r="AI60" i="7"/>
  <c r="AI12" i="7"/>
  <c r="AI40" i="7"/>
  <c r="AI37" i="7"/>
  <c r="AI7" i="7"/>
  <c r="AI34" i="7"/>
  <c r="W36" i="7"/>
  <c r="Y36" i="7" s="1"/>
  <c r="Z18" i="7"/>
  <c r="Z28" i="7"/>
  <c r="Z65" i="7"/>
  <c r="W27" i="7"/>
  <c r="Y27" i="7" s="1"/>
  <c r="X16" i="7"/>
  <c r="Z16" i="7" s="1"/>
  <c r="X29" i="7"/>
  <c r="Z29" i="7" s="1"/>
  <c r="X17" i="7"/>
  <c r="Z17" i="7" s="1"/>
  <c r="Y28" i="7"/>
  <c r="AI9" i="7"/>
  <c r="Y56" i="7"/>
  <c r="Z46" i="7"/>
  <c r="Y43" i="7"/>
  <c r="AI39" i="7"/>
  <c r="Y21" i="7"/>
  <c r="Y33" i="7"/>
  <c r="Y65" i="7"/>
  <c r="Y54" i="7"/>
  <c r="AI29" i="7"/>
  <c r="AI25" i="7"/>
  <c r="Y24" i="7"/>
  <c r="AI47" i="7"/>
  <c r="AI27" i="7"/>
  <c r="Y45" i="7"/>
  <c r="Z23" i="7"/>
  <c r="Y15" i="7"/>
  <c r="AI15" i="7"/>
  <c r="Z13" i="7"/>
  <c r="Y32" i="7"/>
  <c r="AI63" i="7"/>
  <c r="Y42" i="7"/>
  <c r="AI62" i="7"/>
  <c r="AI11" i="7"/>
  <c r="Z35" i="7"/>
  <c r="Y66" i="7"/>
  <c r="Z61" i="7"/>
  <c r="Z10" i="7"/>
  <c r="Y10" i="7"/>
  <c r="Y22" i="7"/>
  <c r="Y8" i="7"/>
  <c r="Y35" i="7"/>
  <c r="Z60" i="7"/>
  <c r="AI44" i="7"/>
  <c r="Z42" i="7"/>
  <c r="Y18" i="7"/>
  <c r="AI35" i="7"/>
  <c r="Z21" i="7"/>
  <c r="Y61" i="7"/>
  <c r="Y58" i="7"/>
  <c r="Y46" i="7"/>
  <c r="Y37" i="7"/>
  <c r="Z66" i="7"/>
  <c r="AI13" i="7"/>
  <c r="AI33" i="7"/>
  <c r="Y12" i="7"/>
  <c r="Z56" i="7"/>
  <c r="Y31" i="7"/>
  <c r="Z9" i="7"/>
  <c r="AI48" i="7"/>
  <c r="AI16" i="7"/>
  <c r="Y25" i="7"/>
  <c r="Z33" i="7"/>
  <c r="Z53" i="7"/>
  <c r="AH20" i="7"/>
  <c r="AI20" i="7" s="1"/>
  <c r="X48" i="7"/>
  <c r="Z48" i="7" s="1"/>
  <c r="X64" i="7"/>
  <c r="Z64" i="7" s="1"/>
  <c r="Z54" i="7"/>
  <c r="AI19" i="7"/>
  <c r="Y20" i="7"/>
  <c r="Z43" i="7"/>
  <c r="Z24" i="7"/>
  <c r="X50" i="7" l="1"/>
  <c r="Z50" i="7" s="1"/>
  <c r="X49" i="7"/>
  <c r="Z49" i="7" s="1"/>
  <c r="X63" i="7"/>
  <c r="Z63" i="7" s="1"/>
  <c r="W49" i="7"/>
  <c r="Y49" i="7" s="1"/>
  <c r="W41" i="7"/>
  <c r="Y41" i="7" s="1"/>
  <c r="W38" i="7"/>
  <c r="Y38" i="7" s="1"/>
  <c r="W50" i="7"/>
  <c r="Y50" i="7" s="1"/>
  <c r="W63" i="7"/>
  <c r="Y63" i="7" s="1"/>
  <c r="AH66" i="7"/>
  <c r="AI66" i="7" s="1"/>
  <c r="X38" i="7"/>
  <c r="Z38" i="7" s="1"/>
  <c r="W40" i="7"/>
  <c r="Y40" i="7" s="1"/>
  <c r="AH50" i="7"/>
  <c r="AI50" i="7" s="1"/>
  <c r="N20" i="7" s="1"/>
  <c r="N22" i="7" s="1"/>
  <c r="N25" i="7" s="1"/>
  <c r="N38" i="7" s="1"/>
  <c r="X41" i="7"/>
  <c r="Z41" i="7" s="1"/>
  <c r="N26" i="7" l="1"/>
  <c r="N27" i="7" s="1"/>
  <c r="N16" i="7"/>
  <c r="N18" i="7" s="1"/>
  <c r="N24" i="7" s="1"/>
  <c r="N37" i="7" s="1"/>
  <c r="N41" i="7" s="1"/>
  <c r="N43" i="7" l="1"/>
  <c r="N42" i="7"/>
  <c r="C26" i="7"/>
  <c r="C28" i="7" l="1"/>
  <c r="C29" i="7" l="1"/>
</calcChain>
</file>

<file path=xl/sharedStrings.xml><?xml version="1.0" encoding="utf-8"?>
<sst xmlns="http://schemas.openxmlformats.org/spreadsheetml/2006/main" count="90" uniqueCount="79">
  <si>
    <t>Date</t>
  </si>
  <si>
    <t>Email</t>
  </si>
  <si>
    <t>All Rights Reserved:  © Astronomy Morsels.</t>
  </si>
  <si>
    <t>I'm solely responsible for the input and express no warranty.  Use at your own risk.</t>
  </si>
  <si>
    <t>Nonetheless, this spreadsheet has been carefully reviewed, and calculation results have been compared with other applications.</t>
  </si>
  <si>
    <t>Leap year?</t>
  </si>
  <si>
    <t>Day nr.</t>
  </si>
  <si>
    <r>
      <rPr>
        <b/>
        <sz val="14"/>
        <color theme="0"/>
        <rFont val="Calibri (Body)"/>
      </rPr>
      <t>Compiled by</t>
    </r>
    <r>
      <rPr>
        <sz val="14"/>
        <color theme="0"/>
        <rFont val="Calibri (Body)"/>
      </rPr>
      <t>: Anton Viola (Astronomy Morsels).</t>
    </r>
  </si>
  <si>
    <t>E</t>
  </si>
  <si>
    <t>Inputs</t>
  </si>
  <si>
    <t>Weekday</t>
  </si>
  <si>
    <t>JDE at 00:00</t>
  </si>
  <si>
    <t>Days since Epoch</t>
  </si>
  <si>
    <t>Location</t>
  </si>
  <si>
    <t>Test</t>
  </si>
  <si>
    <t>φ    (latitude)</t>
  </si>
  <si>
    <t>L     (longitude)</t>
  </si>
  <si>
    <t>Locations</t>
  </si>
  <si>
    <t>Name</t>
  </si>
  <si>
    <t>φ (latitude)</t>
  </si>
  <si>
    <t>L (longitude)</t>
  </si>
  <si>
    <t>Time</t>
  </si>
  <si>
    <t>Julian centuries</t>
  </si>
  <si>
    <t>line</t>
  </si>
  <si>
    <t>D</t>
  </si>
  <si>
    <t>M</t>
  </si>
  <si>
    <t>M'</t>
  </si>
  <si>
    <t>F</t>
  </si>
  <si>
    <r>
      <t xml:space="preserve">Periodic Terms </t>
    </r>
    <r>
      <rPr>
        <sz val="12"/>
        <rFont val="Calibri"/>
        <family val="2"/>
      </rPr>
      <t>(longitude and radius vector)</t>
    </r>
  </si>
  <si>
    <r>
      <t xml:space="preserve">Periodic Terms </t>
    </r>
    <r>
      <rPr>
        <sz val="12"/>
        <rFont val="Calibri"/>
        <family val="2"/>
      </rPr>
      <t>(latitude)</t>
    </r>
  </si>
  <si>
    <t>L'</t>
  </si>
  <si>
    <t>A1</t>
  </si>
  <si>
    <t>A2</t>
  </si>
  <si>
    <t>A3</t>
  </si>
  <si>
    <r>
      <rPr>
        <b/>
        <sz val="14"/>
        <color theme="0"/>
        <rFont val="Calibri (Body)"/>
      </rPr>
      <t>Latest update</t>
    </r>
    <r>
      <rPr>
        <sz val="14"/>
        <color theme="0"/>
        <rFont val="Calibri (Body)"/>
      </rPr>
      <t>: 23rd May, 2024.</t>
    </r>
  </si>
  <si>
    <t>V1.0</t>
  </si>
  <si>
    <r>
      <t>E</t>
    </r>
    <r>
      <rPr>
        <vertAlign val="superscript"/>
        <sz val="12"/>
        <rFont val="Calibri"/>
        <family val="2"/>
      </rPr>
      <t>2</t>
    </r>
  </si>
  <si>
    <r>
      <t>L</t>
    </r>
    <r>
      <rPr>
        <vertAlign val="subscript"/>
        <sz val="12"/>
        <rFont val="Calibri"/>
        <family val="2"/>
      </rPr>
      <t>coeff</t>
    </r>
  </si>
  <si>
    <r>
      <t>R</t>
    </r>
    <r>
      <rPr>
        <vertAlign val="subscript"/>
        <sz val="12"/>
        <rFont val="Calibri"/>
        <family val="2"/>
      </rPr>
      <t>coeff</t>
    </r>
  </si>
  <si>
    <r>
      <t>L</t>
    </r>
    <r>
      <rPr>
        <vertAlign val="subscript"/>
        <sz val="12"/>
        <rFont val="Calibri"/>
        <family val="2"/>
      </rPr>
      <t>eccen</t>
    </r>
  </si>
  <si>
    <r>
      <t>R</t>
    </r>
    <r>
      <rPr>
        <vertAlign val="subscript"/>
        <sz val="12"/>
        <rFont val="Calibri"/>
        <family val="2"/>
      </rPr>
      <t>eccen</t>
    </r>
  </si>
  <si>
    <r>
      <t>L</t>
    </r>
    <r>
      <rPr>
        <vertAlign val="subscript"/>
        <sz val="12"/>
        <rFont val="Calibri"/>
        <family val="2"/>
      </rPr>
      <t>term</t>
    </r>
  </si>
  <si>
    <r>
      <t>R</t>
    </r>
    <r>
      <rPr>
        <vertAlign val="subscript"/>
        <sz val="12"/>
        <rFont val="Calibri"/>
        <family val="2"/>
      </rPr>
      <t>term</t>
    </r>
  </si>
  <si>
    <r>
      <t>B</t>
    </r>
    <r>
      <rPr>
        <vertAlign val="subscript"/>
        <sz val="12"/>
        <rFont val="Calibri"/>
        <family val="2"/>
      </rPr>
      <t>coeff</t>
    </r>
  </si>
  <si>
    <r>
      <t>B</t>
    </r>
    <r>
      <rPr>
        <vertAlign val="subscript"/>
        <sz val="12"/>
        <rFont val="Calibri"/>
        <family val="2"/>
      </rPr>
      <t>eccen</t>
    </r>
  </si>
  <si>
    <r>
      <t>B</t>
    </r>
    <r>
      <rPr>
        <vertAlign val="subscript"/>
        <sz val="12"/>
        <rFont val="Calibri"/>
        <family val="2"/>
      </rPr>
      <t>term</t>
    </r>
  </si>
  <si>
    <t>DtoR</t>
  </si>
  <si>
    <t>Longitude corr.</t>
  </si>
  <si>
    <t>Longitude sum</t>
  </si>
  <si>
    <t>Total</t>
  </si>
  <si>
    <t>Altitude sum</t>
  </si>
  <si>
    <t>Altitude corr.</t>
  </si>
  <si>
    <t>λ</t>
  </si>
  <si>
    <t>β</t>
  </si>
  <si>
    <t>Δ</t>
  </si>
  <si>
    <t>π</t>
  </si>
  <si>
    <t>long asc lunar node (omega)</t>
  </si>
  <si>
    <t>mean long sun (L)</t>
  </si>
  <si>
    <t>mean long moon (L')</t>
  </si>
  <si>
    <t>Δ ε</t>
  </si>
  <si>
    <t>Δ φ</t>
  </si>
  <si>
    <t>α</t>
  </si>
  <si>
    <t>δ</t>
  </si>
  <si>
    <t>hrs</t>
  </si>
  <si>
    <t>HA</t>
  </si>
  <si>
    <t>The Moon is Earth's only natural satellite. It goes around the Earth at a distance of about 385’000 kilometers. Viewed from above, the Moon moves in an anti-clockwise direction around the Earth. The Moon's orbit is not a perfect circle, it is elliptical, so its distance from Earth varies as it revolves around the Earth. This spreadsheet calculates the Moon’s position for a chosen date/time and location.</t>
  </si>
  <si>
    <t>LST</t>
  </si>
  <si>
    <t>ALT</t>
  </si>
  <si>
    <t>AZ</t>
  </si>
  <si>
    <t>Reference: Mees, Astronomical Algorithms, First Edition, pp.307-314.</t>
  </si>
  <si>
    <r>
      <t>λ</t>
    </r>
    <r>
      <rPr>
        <vertAlign val="subscript"/>
        <sz val="12"/>
        <rFont val="Calibri"/>
        <family val="2"/>
      </rPr>
      <t>app</t>
    </r>
  </si>
  <si>
    <r>
      <t>β</t>
    </r>
    <r>
      <rPr>
        <vertAlign val="subscript"/>
        <sz val="12"/>
        <rFont val="Calibri"/>
        <family val="2"/>
      </rPr>
      <t>app</t>
    </r>
  </si>
  <si>
    <r>
      <t>ε</t>
    </r>
    <r>
      <rPr>
        <vertAlign val="subscript"/>
        <sz val="12"/>
        <rFont val="Calibri"/>
        <family val="2"/>
      </rPr>
      <t>true</t>
    </r>
  </si>
  <si>
    <r>
      <t>e</t>
    </r>
    <r>
      <rPr>
        <vertAlign val="subscript"/>
        <sz val="12"/>
        <rFont val="Calibri"/>
        <family val="2"/>
      </rPr>
      <t>date</t>
    </r>
  </si>
  <si>
    <t>Lenk</t>
  </si>
  <si>
    <t>i</t>
  </si>
  <si>
    <t>k</t>
  </si>
  <si>
    <t>Moon Phase</t>
  </si>
  <si>
    <t>Illuminated 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</si>
</sst>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[$]hh:mm;@" x16r2:formatCode16="[$-en-CH,1]hh:mm;@"/>
    <numFmt numFmtId="166" formatCode="#,##0.00000"/>
    <numFmt numFmtId="167" formatCode="0.0%"/>
  </numFmts>
  <fonts count="2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0"/>
      <name val="Calibri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14"/>
      <color theme="0"/>
      <name val="Calibri (Body)"/>
    </font>
    <font>
      <b/>
      <sz val="14"/>
      <color theme="0"/>
      <name val="Calibri (Body)"/>
    </font>
    <font>
      <u/>
      <sz val="14"/>
      <color theme="0"/>
      <name val="Calibri"/>
      <family val="2"/>
      <scheme val="minor"/>
    </font>
    <font>
      <u/>
      <sz val="14"/>
      <color theme="0"/>
      <name val="Calibri (Body)"/>
    </font>
    <font>
      <u/>
      <sz val="12"/>
      <color theme="0"/>
      <name val="Calibri"/>
      <family val="2"/>
    </font>
    <font>
      <sz val="9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ＭＳ Ｐゴシック"/>
      <family val="2"/>
      <charset val="128"/>
    </font>
    <font>
      <sz val="12"/>
      <color rgb="FF202122"/>
      <name val="Calibri"/>
      <family val="2"/>
    </font>
    <font>
      <vertAlign val="superscript"/>
      <sz val="12"/>
      <name val="Calibri"/>
      <family val="2"/>
    </font>
    <font>
      <vertAlign val="subscript"/>
      <sz val="12"/>
      <name val="Calibri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7" fillId="0" borderId="0"/>
    <xf numFmtId="0" fontId="4" fillId="0" borderId="0"/>
    <xf numFmtId="0" fontId="14" fillId="0" borderId="0"/>
    <xf numFmtId="0" fontId="17" fillId="0" borderId="0"/>
  </cellStyleXfs>
  <cellXfs count="75">
    <xf numFmtId="0" fontId="0" fillId="0" borderId="0" xfId="0"/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center"/>
    </xf>
    <xf numFmtId="0" fontId="8" fillId="4" borderId="3" xfId="1" applyFont="1" applyFill="1" applyBorder="1"/>
    <xf numFmtId="0" fontId="10" fillId="4" borderId="4" xfId="2" applyFont="1" applyFill="1" applyBorder="1" applyAlignment="1">
      <alignment horizontal="center"/>
    </xf>
    <xf numFmtId="0" fontId="11" fillId="4" borderId="5" xfId="2" applyFont="1" applyFill="1" applyBorder="1" applyAlignment="1">
      <alignment horizontal="left"/>
    </xf>
    <xf numFmtId="0" fontId="8" fillId="4" borderId="0" xfId="1" applyFont="1" applyFill="1" applyAlignment="1">
      <alignment horizontal="center"/>
    </xf>
    <xf numFmtId="0" fontId="8" fillId="4" borderId="0" xfId="1" applyFont="1" applyFill="1"/>
    <xf numFmtId="0" fontId="8" fillId="4" borderId="6" xfId="1" applyFont="1" applyFill="1" applyBorder="1" applyAlignment="1">
      <alignment horizontal="center"/>
    </xf>
    <xf numFmtId="0" fontId="8" fillId="4" borderId="7" xfId="2" applyFont="1" applyFill="1" applyBorder="1" applyAlignment="1">
      <alignment horizontal="left"/>
    </xf>
    <xf numFmtId="0" fontId="8" fillId="4" borderId="8" xfId="2" applyFont="1" applyFill="1" applyBorder="1" applyAlignment="1">
      <alignment horizontal="left"/>
    </xf>
    <xf numFmtId="0" fontId="8" fillId="4" borderId="8" xfId="1" applyFont="1" applyFill="1" applyBorder="1"/>
    <xf numFmtId="0" fontId="9" fillId="4" borderId="9" xfId="1" applyFont="1" applyFill="1" applyBorder="1" applyAlignment="1">
      <alignment horizontal="center"/>
    </xf>
    <xf numFmtId="0" fontId="1" fillId="4" borderId="0" xfId="1" applyFill="1"/>
    <xf numFmtId="0" fontId="0" fillId="4" borderId="0" xfId="0" applyFill="1"/>
    <xf numFmtId="0" fontId="15" fillId="0" borderId="0" xfId="5" applyFont="1"/>
    <xf numFmtId="0" fontId="15" fillId="0" borderId="0" xfId="5" applyFont="1" applyAlignment="1">
      <alignment horizontal="center"/>
    </xf>
    <xf numFmtId="164" fontId="15" fillId="0" borderId="0" xfId="5" applyNumberFormat="1" applyFont="1"/>
    <xf numFmtId="0" fontId="5" fillId="0" borderId="8" xfId="5" applyFont="1" applyBorder="1"/>
    <xf numFmtId="0" fontId="6" fillId="2" borderId="9" xfId="5" applyFont="1" applyFill="1" applyBorder="1" applyAlignment="1">
      <alignment horizontal="right"/>
    </xf>
    <xf numFmtId="0" fontId="5" fillId="0" borderId="13" xfId="5" applyFont="1" applyBorder="1" applyAlignment="1">
      <alignment vertical="center"/>
    </xf>
    <xf numFmtId="14" fontId="6" fillId="2" borderId="1" xfId="5" applyNumberFormat="1" applyFont="1" applyFill="1" applyBorder="1" applyAlignment="1" applyProtection="1">
      <alignment horizontal="right" vertical="center"/>
      <protection locked="0"/>
    </xf>
    <xf numFmtId="0" fontId="1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1" xfId="5" applyFont="1" applyBorder="1" applyAlignment="1">
      <alignment horizontal="right" vertical="center"/>
    </xf>
    <xf numFmtId="1" fontId="5" fillId="0" borderId="1" xfId="5" applyNumberFormat="1" applyFont="1" applyBorder="1" applyAlignment="1">
      <alignment horizontal="right" vertical="center"/>
    </xf>
    <xf numFmtId="4" fontId="5" fillId="0" borderId="1" xfId="5" applyNumberFormat="1" applyFont="1" applyBorder="1" applyAlignment="1">
      <alignment horizontal="right" vertical="center"/>
    </xf>
    <xf numFmtId="0" fontId="5" fillId="0" borderId="1" xfId="0" applyFont="1" applyBorder="1"/>
    <xf numFmtId="0" fontId="6" fillId="2" borderId="14" xfId="0" applyFont="1" applyFill="1" applyBorder="1" applyAlignment="1" applyProtection="1">
      <alignment horizontal="right"/>
      <protection locked="0"/>
    </xf>
    <xf numFmtId="0" fontId="18" fillId="0" borderId="1" xfId="5" applyFont="1" applyBorder="1" applyAlignment="1">
      <alignment vertical="center"/>
    </xf>
    <xf numFmtId="2" fontId="5" fillId="0" borderId="1" xfId="5" applyNumberFormat="1" applyFont="1" applyBorder="1" applyAlignment="1">
      <alignment horizontal="right" vertical="center"/>
    </xf>
    <xf numFmtId="0" fontId="18" fillId="0" borderId="1" xfId="5" applyFont="1" applyBorder="1" applyAlignment="1">
      <alignment horizontal="right" vertical="center"/>
    </xf>
    <xf numFmtId="0" fontId="6" fillId="2" borderId="1" xfId="5" applyFont="1" applyFill="1" applyBorder="1" applyAlignment="1" applyProtection="1">
      <alignment vertical="center"/>
      <protection locked="0"/>
    </xf>
    <xf numFmtId="2" fontId="6" fillId="2" borderId="1" xfId="5" applyNumberFormat="1" applyFont="1" applyFill="1" applyBorder="1" applyAlignment="1" applyProtection="1">
      <alignment vertical="center"/>
      <protection locked="0"/>
    </xf>
    <xf numFmtId="0" fontId="15" fillId="4" borderId="0" xfId="5" applyFont="1" applyFill="1"/>
    <xf numFmtId="165" fontId="16" fillId="2" borderId="1" xfId="6" applyNumberFormat="1" applyFont="1" applyFill="1" applyBorder="1" applyAlignment="1" applyProtection="1">
      <alignment horizontal="right" vertical="center"/>
      <protection locked="0"/>
    </xf>
    <xf numFmtId="166" fontId="5" fillId="0" borderId="1" xfId="5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5" fillId="0" borderId="15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8" xfId="0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16" xfId="0" applyFont="1" applyBorder="1" applyAlignment="1">
      <alignment horizontal="right"/>
    </xf>
    <xf numFmtId="164" fontId="15" fillId="0" borderId="0" xfId="0" applyNumberFormat="1" applyFont="1"/>
    <xf numFmtId="0" fontId="15" fillId="0" borderId="16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2" fontId="15" fillId="0" borderId="0" xfId="5" applyNumberFormat="1" applyFont="1"/>
    <xf numFmtId="0" fontId="15" fillId="0" borderId="2" xfId="5" applyFont="1" applyBorder="1"/>
    <xf numFmtId="0" fontId="15" fillId="0" borderId="4" xfId="5" applyFont="1" applyBorder="1"/>
    <xf numFmtId="0" fontId="15" fillId="0" borderId="5" xfId="5" applyFont="1" applyBorder="1"/>
    <xf numFmtId="165" fontId="15" fillId="0" borderId="6" xfId="5" applyNumberFormat="1" applyFont="1" applyBorder="1"/>
    <xf numFmtId="2" fontId="15" fillId="0" borderId="6" xfId="5" applyNumberFormat="1" applyFont="1" applyBorder="1"/>
    <xf numFmtId="0" fontId="15" fillId="0" borderId="6" xfId="5" applyFont="1" applyBorder="1"/>
    <xf numFmtId="0" fontId="15" fillId="0" borderId="7" xfId="5" applyFont="1" applyBorder="1"/>
    <xf numFmtId="164" fontId="15" fillId="3" borderId="6" xfId="5" applyNumberFormat="1" applyFont="1" applyFill="1" applyBorder="1"/>
    <xf numFmtId="164" fontId="15" fillId="3" borderId="9" xfId="5" applyNumberFormat="1" applyFont="1" applyFill="1" applyBorder="1"/>
    <xf numFmtId="0" fontId="21" fillId="0" borderId="0" xfId="0" applyFont="1" applyAlignment="1">
      <alignment vertical="center"/>
    </xf>
    <xf numFmtId="0" fontId="21" fillId="0" borderId="19" xfId="0" applyFont="1" applyBorder="1" applyAlignment="1">
      <alignment vertical="center"/>
    </xf>
    <xf numFmtId="167" fontId="21" fillId="5" borderId="1" xfId="0" applyNumberFormat="1" applyFont="1" applyFill="1" applyBorder="1"/>
    <xf numFmtId="0" fontId="2" fillId="4" borderId="0" xfId="1" applyFont="1" applyFill="1" applyAlignment="1">
      <alignment horizontal="center" vertical="center" wrapText="1"/>
    </xf>
    <xf numFmtId="0" fontId="12" fillId="4" borderId="2" xfId="2" applyFont="1" applyFill="1" applyBorder="1" applyAlignment="1">
      <alignment horizontal="center"/>
    </xf>
    <xf numFmtId="0" fontId="12" fillId="4" borderId="3" xfId="2" applyFont="1" applyFill="1" applyBorder="1" applyAlignment="1">
      <alignment horizontal="center"/>
    </xf>
    <xf numFmtId="0" fontId="12" fillId="4" borderId="10" xfId="2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5" fillId="0" borderId="8" xfId="5" applyFont="1" applyBorder="1" applyAlignment="1">
      <alignment horizontal="center" vertical="center"/>
    </xf>
  </cellXfs>
  <cellStyles count="7">
    <cellStyle name="Hyperlink 2" xfId="2" xr:uid="{D5ACFE3F-D052-4049-ABCD-B1647BD7C9CE}"/>
    <cellStyle name="Normal" xfId="0" builtinId="0"/>
    <cellStyle name="Normal 2" xfId="1" xr:uid="{6E869B1E-3825-7143-881F-3B7FF934F199}"/>
    <cellStyle name="Normal 3" xfId="5" xr:uid="{8BBE0718-9F9F-AA4A-BE0A-CD51B0DA0FF1}"/>
    <cellStyle name="Normal 3 2" xfId="6" xr:uid="{9B0E1E95-E38F-204C-8602-EA1FF6C1F735}"/>
    <cellStyle name="Normal 4" xfId="4" xr:uid="{2305CDD2-12F4-2747-A307-6B841DB066B1}"/>
    <cellStyle name="Normal 5" xfId="3" xr:uid="{B81E1D70-E3B1-9343-80A4-9E9406FFCE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Moon Position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9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7FC-5B43-B9B7-E06211AF9FF8}"/>
              </c:ext>
            </c:extLst>
          </c:dPt>
          <c:xVal>
            <c:numRef>
              <c:f>'Moon Position'!$C$29</c:f>
              <c:numCache>
                <c:formatCode>0.00000</c:formatCode>
                <c:ptCount val="1"/>
                <c:pt idx="0">
                  <c:v>23.891181241412195</c:v>
                </c:pt>
              </c:numCache>
            </c:numRef>
          </c:xVal>
          <c:yVal>
            <c:numRef>
              <c:f>'Moon Position'!$C$28</c:f>
              <c:numCache>
                <c:formatCode>0.00000</c:formatCode>
                <c:ptCount val="1"/>
                <c:pt idx="0">
                  <c:v>-66.240632759194369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FC-5B43-B9B7-E06211AF9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678992"/>
        <c:axId val="2082725648"/>
      </c:scatterChart>
      <c:valAx>
        <c:axId val="2082678992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Azimuth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2082725648"/>
        <c:crosses val="autoZero"/>
        <c:crossBetween val="midCat"/>
        <c:majorUnit val="30"/>
      </c:valAx>
      <c:valAx>
        <c:axId val="2082725648"/>
        <c:scaling>
          <c:orientation val="minMax"/>
          <c:max val="90"/>
          <c:min val="-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Altitude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2082678992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https://www.astronomy-morsels.ch/morsel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chart" Target="../charts/chart1.xml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42</xdr:row>
      <xdr:rowOff>114300</xdr:rowOff>
    </xdr:from>
    <xdr:to>
      <xdr:col>9</xdr:col>
      <xdr:colOff>190500</xdr:colOff>
      <xdr:row>52</xdr:row>
      <xdr:rowOff>25400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03E99F-F8E8-C6F7-55A0-11A825957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0" y="8750300"/>
          <a:ext cx="5397500" cy="1943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185862</xdr:colOff>
      <xdr:row>16</xdr:row>
      <xdr:rowOff>165100</xdr:rowOff>
    </xdr:from>
    <xdr:to>
      <xdr:col>9</xdr:col>
      <xdr:colOff>669672</xdr:colOff>
      <xdr:row>37</xdr:row>
      <xdr:rowOff>50800</xdr:rowOff>
    </xdr:to>
    <xdr:pic>
      <xdr:nvPicPr>
        <xdr:cNvPr id="3" name="Picture 2" descr="What are the phases of the moon?">
          <a:extLst>
            <a:ext uri="{FF2B5EF4-FFF2-40B4-BE49-F238E27FC236}">
              <a16:creationId xmlns:a16="http://schemas.microsoft.com/office/drawing/2014/main" id="{1801337E-2493-2436-B4CF-198A5AFF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862" y="3517900"/>
          <a:ext cx="6262310" cy="415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635000</xdr:colOff>
      <xdr:row>10</xdr:row>
      <xdr:rowOff>32496</xdr:rowOff>
    </xdr:to>
    <xdr:pic>
      <xdr:nvPicPr>
        <xdr:cNvPr id="2" name="Picture 14" descr="http://upload.wikimedia.org/wikipedia/commons/thumb/a/aa/Sun920607.jpg/100px-Sun920607.jpg" hidden="1">
          <a:extLst>
            <a:ext uri="{FF2B5EF4-FFF2-40B4-BE49-F238E27FC236}">
              <a16:creationId xmlns:a16="http://schemas.microsoft.com/office/drawing/2014/main" id="{DE5351EA-8CEC-344E-AF0B-A96883328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500" y="2235200"/>
          <a:ext cx="635000" cy="43889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622426</xdr:colOff>
      <xdr:row>8</xdr:row>
      <xdr:rowOff>158750</xdr:rowOff>
    </xdr:to>
    <xdr:pic>
      <xdr:nvPicPr>
        <xdr:cNvPr id="3" name="Picture 15" descr="http://upload.wikimedia.org/wikipedia/commons/thumb/d/dd/Full_Moon_Luc_Viatour.jpg/100px-Full_Moon_Luc_Viatour.jpg" hidden="1">
          <a:extLst>
            <a:ext uri="{FF2B5EF4-FFF2-40B4-BE49-F238E27FC236}">
              <a16:creationId xmlns:a16="http://schemas.microsoft.com/office/drawing/2014/main" id="{12959049-ADCA-7042-B4AC-F20F648D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500" y="1422400"/>
          <a:ext cx="622426" cy="5651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624417</xdr:colOff>
      <xdr:row>8</xdr:row>
      <xdr:rowOff>92075</xdr:rowOff>
    </xdr:to>
    <xdr:pic>
      <xdr:nvPicPr>
        <xdr:cNvPr id="4" name="Picture 18" descr="http://upload.wikimedia.org/wikipedia/commons/thumb/7/76/Mars_Hubble.jpg/100px-Mars_Hubble.jpg" hidden="1">
          <a:extLst>
            <a:ext uri="{FF2B5EF4-FFF2-40B4-BE49-F238E27FC236}">
              <a16:creationId xmlns:a16="http://schemas.microsoft.com/office/drawing/2014/main" id="{0919129C-2DA4-1D4A-BBEA-1289504D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5500" y="1422400"/>
          <a:ext cx="624417" cy="498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627529</xdr:colOff>
      <xdr:row>10</xdr:row>
      <xdr:rowOff>74706</xdr:rowOff>
    </xdr:to>
    <xdr:pic>
      <xdr:nvPicPr>
        <xdr:cNvPr id="5" name="Picture 4" descr="Jupiter.jpg" hidden="1">
          <a:extLst>
            <a:ext uri="{FF2B5EF4-FFF2-40B4-BE49-F238E27FC236}">
              <a16:creationId xmlns:a16="http://schemas.microsoft.com/office/drawing/2014/main" id="{48C72C17-8ABE-0647-9293-8D41A7B06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5500" y="1422400"/>
          <a:ext cx="1757829" cy="11161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635000</xdr:colOff>
      <xdr:row>13</xdr:row>
      <xdr:rowOff>32496</xdr:rowOff>
    </xdr:to>
    <xdr:pic>
      <xdr:nvPicPr>
        <xdr:cNvPr id="6" name="Picture 14" descr="http://upload.wikimedia.org/wikipedia/commons/thumb/a/aa/Sun920607.jpg/100px-Sun920607.jpg" hidden="1">
          <a:extLst>
            <a:ext uri="{FF2B5EF4-FFF2-40B4-BE49-F238E27FC236}">
              <a16:creationId xmlns:a16="http://schemas.microsoft.com/office/drawing/2014/main" id="{8E6F1AB0-7894-2D4D-AF21-F815BE37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500" y="2032000"/>
          <a:ext cx="635000" cy="438896"/>
        </a:xfrm>
        <a:prstGeom prst="rect">
          <a:avLst/>
        </a:prstGeom>
        <a:noFill/>
      </xdr:spPr>
    </xdr:pic>
    <xdr:clientData/>
  </xdr:twoCellAnchor>
  <xdr:twoCellAnchor>
    <xdr:from>
      <xdr:col>0</xdr:col>
      <xdr:colOff>812800</xdr:colOff>
      <xdr:row>31</xdr:row>
      <xdr:rowOff>44450</xdr:rowOff>
    </xdr:from>
    <xdr:to>
      <xdr:col>8</xdr:col>
      <xdr:colOff>254000</xdr:colOff>
      <xdr:row>49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C1E3AC6-AA23-082E-8A52-07D007375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812800</xdr:colOff>
      <xdr:row>1</xdr:row>
      <xdr:rowOff>63500</xdr:rowOff>
    </xdr:from>
    <xdr:to>
      <xdr:col>10</xdr:col>
      <xdr:colOff>127000</xdr:colOff>
      <xdr:row>46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82C1E3-B7B6-582C-3D82-0AD949D4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254000"/>
          <a:ext cx="7569200" cy="8636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0</xdr:colOff>
      <xdr:row>1</xdr:row>
      <xdr:rowOff>63500</xdr:rowOff>
    </xdr:from>
    <xdr:to>
      <xdr:col>21</xdr:col>
      <xdr:colOff>406400</xdr:colOff>
      <xdr:row>46</xdr:row>
      <xdr:rowOff>152400</xdr:rowOff>
    </xdr:to>
    <xdr:pic>
      <xdr:nvPicPr>
        <xdr:cNvPr id="6" name="Picture 5" descr="What Are the 8 Phases of the Moon, in Order? | HowStuffWorks">
          <a:extLst>
            <a:ext uri="{FF2B5EF4-FFF2-40B4-BE49-F238E27FC236}">
              <a16:creationId xmlns:a16="http://schemas.microsoft.com/office/drawing/2014/main" id="{7562083E-A44F-4D68-98ED-8E7AB8BD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0" y="254000"/>
          <a:ext cx="8661400" cy="866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astronomy-morsels.ch/" TargetMode="External"/><Relationship Id="rId1" Type="http://schemas.openxmlformats.org/officeDocument/2006/relationships/hyperlink" Target="mailto:anton@astronomy-morsels.ch?subject=Eclipse%20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7E1F-5E53-6648-98DF-00A22DF75238}">
  <dimension ref="B2:N41"/>
  <sheetViews>
    <sheetView showGridLines="0" tabSelected="1" topLeftCell="A14" workbookViewId="0">
      <selection activeCell="B3" sqref="B3:K9"/>
    </sheetView>
  </sheetViews>
  <sheetFormatPr baseColWidth="10" defaultRowHeight="16"/>
  <cols>
    <col min="1" max="16384" width="10.83203125" style="13"/>
  </cols>
  <sheetData>
    <row r="2" spans="2:14" ht="15" customHeight="1"/>
    <row r="3" spans="2:14" ht="16" customHeight="1">
      <c r="B3" s="64" t="s">
        <v>65</v>
      </c>
      <c r="C3" s="64"/>
      <c r="D3" s="64"/>
      <c r="E3" s="64"/>
      <c r="F3" s="64"/>
      <c r="G3" s="64"/>
      <c r="H3" s="64"/>
      <c r="I3" s="64"/>
      <c r="J3" s="64"/>
      <c r="K3" s="64"/>
    </row>
    <row r="4" spans="2:14" ht="16" customHeight="1"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2:14" ht="16" customHeight="1"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2:14" ht="16" customHeight="1"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2:14" ht="16" customHeight="1"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2:14" ht="16" customHeight="1"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2:14" ht="16" customHeight="1">
      <c r="B9" s="64"/>
      <c r="C9" s="64"/>
      <c r="D9" s="64"/>
      <c r="E9" s="64"/>
      <c r="F9" s="64"/>
      <c r="G9" s="64"/>
      <c r="H9" s="64"/>
      <c r="I9" s="64"/>
      <c r="J9" s="64"/>
      <c r="K9" s="64"/>
    </row>
    <row r="13" spans="2:14" ht="19">
      <c r="D13" s="1" t="s">
        <v>7</v>
      </c>
      <c r="E13" s="2"/>
      <c r="F13" s="3"/>
      <c r="G13" s="3"/>
      <c r="H13" s="3"/>
      <c r="I13" s="4" t="s">
        <v>1</v>
      </c>
    </row>
    <row r="14" spans="2:14" ht="19">
      <c r="D14" s="5"/>
      <c r="E14" s="6"/>
      <c r="F14" s="7"/>
      <c r="G14" s="7"/>
      <c r="H14" s="7"/>
      <c r="I14" s="8"/>
      <c r="N14" s="14"/>
    </row>
    <row r="15" spans="2:14" ht="19">
      <c r="D15" s="9" t="s">
        <v>34</v>
      </c>
      <c r="E15" s="10"/>
      <c r="F15" s="11"/>
      <c r="G15" s="11"/>
      <c r="H15" s="11"/>
      <c r="I15" s="12" t="s">
        <v>35</v>
      </c>
    </row>
    <row r="36" spans="2:11">
      <c r="J36" s="14"/>
    </row>
    <row r="39" spans="2:11">
      <c r="B39" s="65" t="s">
        <v>2</v>
      </c>
      <c r="C39" s="66"/>
      <c r="D39" s="66"/>
      <c r="E39" s="66"/>
      <c r="F39" s="66"/>
      <c r="G39" s="66"/>
      <c r="H39" s="66"/>
      <c r="I39" s="66"/>
      <c r="J39" s="66"/>
      <c r="K39" s="67"/>
    </row>
    <row r="40" spans="2:11">
      <c r="B40" s="68" t="s">
        <v>3</v>
      </c>
      <c r="C40" s="69"/>
      <c r="D40" s="69"/>
      <c r="E40" s="69"/>
      <c r="F40" s="69"/>
      <c r="G40" s="69"/>
      <c r="H40" s="69"/>
      <c r="I40" s="69"/>
      <c r="J40" s="69"/>
      <c r="K40" s="70"/>
    </row>
    <row r="41" spans="2:11">
      <c r="B41" s="71" t="s">
        <v>4</v>
      </c>
      <c r="C41" s="72"/>
      <c r="D41" s="72"/>
      <c r="E41" s="72"/>
      <c r="F41" s="72"/>
      <c r="G41" s="72"/>
      <c r="H41" s="72"/>
      <c r="I41" s="72"/>
      <c r="J41" s="72"/>
      <c r="K41" s="73"/>
    </row>
  </sheetData>
  <sheetProtection sheet="1" objects="1" scenarios="1"/>
  <mergeCells count="4">
    <mergeCell ref="B3:K9"/>
    <mergeCell ref="B39:K39"/>
    <mergeCell ref="B40:K40"/>
    <mergeCell ref="B41:K41"/>
  </mergeCells>
  <hyperlinks>
    <hyperlink ref="I13" r:id="rId1" xr:uid="{247AC557-83BE-0C41-AA3D-42381441D9FE}"/>
    <hyperlink ref="B39" r:id="rId2" display="http://www.astronomy-morsels.ch/" xr:uid="{627D1712-63C6-F14A-9CD5-2AE69EC26046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F9DF-2C7A-494A-89ED-5CF0D9462A30}">
  <dimension ref="B1:AI100"/>
  <sheetViews>
    <sheetView showGridLines="0" topLeftCell="A10" workbookViewId="0">
      <selection activeCell="A14" sqref="A14"/>
    </sheetView>
  </sheetViews>
  <sheetFormatPr baseColWidth="10" defaultRowHeight="16"/>
  <cols>
    <col min="1" max="1" width="10.83203125" style="15"/>
    <col min="2" max="2" width="14.83203125" style="15" customWidth="1"/>
    <col min="3" max="4" width="14.33203125" style="15" customWidth="1"/>
    <col min="5" max="5" width="12.33203125" style="15" customWidth="1"/>
    <col min="6" max="9" width="10.83203125" style="15" customWidth="1"/>
    <col min="10" max="10" width="3.33203125" style="34" customWidth="1"/>
    <col min="11" max="11" width="3.33203125" style="15" customWidth="1"/>
    <col min="12" max="13" width="10.83203125" style="15" customWidth="1"/>
    <col min="14" max="14" width="15.83203125" style="15" customWidth="1"/>
    <col min="15" max="15" width="10.83203125" style="15" customWidth="1"/>
    <col min="16" max="16" width="8.83203125" style="16" customWidth="1"/>
    <col min="17" max="20" width="3.33203125" style="15" customWidth="1"/>
    <col min="21" max="28" width="8.83203125" style="15" customWidth="1"/>
    <col min="29" max="32" width="3.33203125" style="16" customWidth="1"/>
    <col min="33" max="248" width="8.83203125" style="15" customWidth="1"/>
    <col min="249" max="249" width="17.5" style="15" customWidth="1"/>
    <col min="250" max="250" width="8.83203125" style="15" customWidth="1"/>
    <col min="251" max="251" width="10.5" style="15" bestFit="1" customWidth="1"/>
    <col min="252" max="252" width="12.33203125" style="15" customWidth="1"/>
    <col min="253" max="253" width="10.1640625" style="15" customWidth="1"/>
    <col min="254" max="254" width="8.83203125" style="15" customWidth="1"/>
    <col min="255" max="255" width="19.5" style="15" customWidth="1"/>
    <col min="256" max="259" width="8.83203125" style="15" customWidth="1"/>
    <col min="260" max="260" width="17.1640625" style="15" customWidth="1"/>
    <col min="261" max="261" width="16.5" style="15" customWidth="1"/>
    <col min="262" max="504" width="8.83203125" style="15" customWidth="1"/>
    <col min="505" max="505" width="17.5" style="15" customWidth="1"/>
    <col min="506" max="506" width="8.83203125" style="15" customWidth="1"/>
    <col min="507" max="507" width="10.5" style="15" bestFit="1" customWidth="1"/>
    <col min="508" max="508" width="12.33203125" style="15" customWidth="1"/>
    <col min="509" max="509" width="10.1640625" style="15" customWidth="1"/>
    <col min="510" max="510" width="8.83203125" style="15" customWidth="1"/>
    <col min="511" max="511" width="19.5" style="15" customWidth="1"/>
    <col min="512" max="515" width="8.83203125" style="15" customWidth="1"/>
    <col min="516" max="516" width="17.1640625" style="15" customWidth="1"/>
    <col min="517" max="517" width="16.5" style="15" customWidth="1"/>
    <col min="518" max="760" width="8.83203125" style="15" customWidth="1"/>
    <col min="761" max="761" width="17.5" style="15" customWidth="1"/>
    <col min="762" max="762" width="8.83203125" style="15" customWidth="1"/>
    <col min="763" max="763" width="10.5" style="15" bestFit="1" customWidth="1"/>
    <col min="764" max="764" width="12.33203125" style="15" customWidth="1"/>
    <col min="765" max="765" width="10.1640625" style="15" customWidth="1"/>
    <col min="766" max="766" width="8.83203125" style="15" customWidth="1"/>
    <col min="767" max="767" width="19.5" style="15" customWidth="1"/>
    <col min="768" max="771" width="8.83203125" style="15" customWidth="1"/>
    <col min="772" max="772" width="17.1640625" style="15" customWidth="1"/>
    <col min="773" max="773" width="16.5" style="15" customWidth="1"/>
    <col min="774" max="1016" width="8.83203125" style="15" customWidth="1"/>
    <col min="1017" max="1017" width="17.5" style="15" customWidth="1"/>
    <col min="1018" max="1018" width="8.83203125" style="15" customWidth="1"/>
    <col min="1019" max="1019" width="10.5" style="15" bestFit="1" customWidth="1"/>
    <col min="1020" max="1020" width="12.33203125" style="15" customWidth="1"/>
    <col min="1021" max="1021" width="10.1640625" style="15" customWidth="1"/>
    <col min="1022" max="1022" width="8.83203125" style="15" customWidth="1"/>
    <col min="1023" max="1023" width="19.5" style="15" customWidth="1"/>
    <col min="1024" max="1027" width="8.83203125" style="15" customWidth="1"/>
    <col min="1028" max="1028" width="17.1640625" style="15" customWidth="1"/>
    <col min="1029" max="1029" width="16.5" style="15" customWidth="1"/>
    <col min="1030" max="1272" width="8.83203125" style="15" customWidth="1"/>
    <col min="1273" max="1273" width="17.5" style="15" customWidth="1"/>
    <col min="1274" max="1274" width="8.83203125" style="15" customWidth="1"/>
    <col min="1275" max="1275" width="10.5" style="15" bestFit="1" customWidth="1"/>
    <col min="1276" max="1276" width="12.33203125" style="15" customWidth="1"/>
    <col min="1277" max="1277" width="10.1640625" style="15" customWidth="1"/>
    <col min="1278" max="1278" width="8.83203125" style="15" customWidth="1"/>
    <col min="1279" max="1279" width="19.5" style="15" customWidth="1"/>
    <col min="1280" max="1283" width="8.83203125" style="15" customWidth="1"/>
    <col min="1284" max="1284" width="17.1640625" style="15" customWidth="1"/>
    <col min="1285" max="1285" width="16.5" style="15" customWidth="1"/>
    <col min="1286" max="1528" width="8.83203125" style="15" customWidth="1"/>
    <col min="1529" max="1529" width="17.5" style="15" customWidth="1"/>
    <col min="1530" max="1530" width="8.83203125" style="15" customWidth="1"/>
    <col min="1531" max="1531" width="10.5" style="15" bestFit="1" customWidth="1"/>
    <col min="1532" max="1532" width="12.33203125" style="15" customWidth="1"/>
    <col min="1533" max="1533" width="10.1640625" style="15" customWidth="1"/>
    <col min="1534" max="1534" width="8.83203125" style="15" customWidth="1"/>
    <col min="1535" max="1535" width="19.5" style="15" customWidth="1"/>
    <col min="1536" max="1539" width="8.83203125" style="15" customWidth="1"/>
    <col min="1540" max="1540" width="17.1640625" style="15" customWidth="1"/>
    <col min="1541" max="1541" width="16.5" style="15" customWidth="1"/>
    <col min="1542" max="1784" width="8.83203125" style="15" customWidth="1"/>
    <col min="1785" max="1785" width="17.5" style="15" customWidth="1"/>
    <col min="1786" max="1786" width="8.83203125" style="15" customWidth="1"/>
    <col min="1787" max="1787" width="10.5" style="15" bestFit="1" customWidth="1"/>
    <col min="1788" max="1788" width="12.33203125" style="15" customWidth="1"/>
    <col min="1789" max="1789" width="10.1640625" style="15" customWidth="1"/>
    <col min="1790" max="1790" width="8.83203125" style="15" customWidth="1"/>
    <col min="1791" max="1791" width="19.5" style="15" customWidth="1"/>
    <col min="1792" max="1795" width="8.83203125" style="15" customWidth="1"/>
    <col min="1796" max="1796" width="17.1640625" style="15" customWidth="1"/>
    <col min="1797" max="1797" width="16.5" style="15" customWidth="1"/>
    <col min="1798" max="2040" width="8.83203125" style="15" customWidth="1"/>
    <col min="2041" max="2041" width="17.5" style="15" customWidth="1"/>
    <col min="2042" max="2042" width="8.83203125" style="15" customWidth="1"/>
    <col min="2043" max="2043" width="10.5" style="15" bestFit="1" customWidth="1"/>
    <col min="2044" max="2044" width="12.33203125" style="15" customWidth="1"/>
    <col min="2045" max="2045" width="10.1640625" style="15" customWidth="1"/>
    <col min="2046" max="2046" width="8.83203125" style="15" customWidth="1"/>
    <col min="2047" max="2047" width="19.5" style="15" customWidth="1"/>
    <col min="2048" max="2051" width="8.83203125" style="15" customWidth="1"/>
    <col min="2052" max="2052" width="17.1640625" style="15" customWidth="1"/>
    <col min="2053" max="2053" width="16.5" style="15" customWidth="1"/>
    <col min="2054" max="2296" width="8.83203125" style="15" customWidth="1"/>
    <col min="2297" max="2297" width="17.5" style="15" customWidth="1"/>
    <col min="2298" max="2298" width="8.83203125" style="15" customWidth="1"/>
    <col min="2299" max="2299" width="10.5" style="15" bestFit="1" customWidth="1"/>
    <col min="2300" max="2300" width="12.33203125" style="15" customWidth="1"/>
    <col min="2301" max="2301" width="10.1640625" style="15" customWidth="1"/>
    <col min="2302" max="2302" width="8.83203125" style="15" customWidth="1"/>
    <col min="2303" max="2303" width="19.5" style="15" customWidth="1"/>
    <col min="2304" max="2307" width="8.83203125" style="15" customWidth="1"/>
    <col min="2308" max="2308" width="17.1640625" style="15" customWidth="1"/>
    <col min="2309" max="2309" width="16.5" style="15" customWidth="1"/>
    <col min="2310" max="2552" width="8.83203125" style="15" customWidth="1"/>
    <col min="2553" max="2553" width="17.5" style="15" customWidth="1"/>
    <col min="2554" max="2554" width="8.83203125" style="15" customWidth="1"/>
    <col min="2555" max="2555" width="10.5" style="15" bestFit="1" customWidth="1"/>
    <col min="2556" max="2556" width="12.33203125" style="15" customWidth="1"/>
    <col min="2557" max="2557" width="10.1640625" style="15" customWidth="1"/>
    <col min="2558" max="2558" width="8.83203125" style="15" customWidth="1"/>
    <col min="2559" max="2559" width="19.5" style="15" customWidth="1"/>
    <col min="2560" max="2563" width="8.83203125" style="15" customWidth="1"/>
    <col min="2564" max="2564" width="17.1640625" style="15" customWidth="1"/>
    <col min="2565" max="2565" width="16.5" style="15" customWidth="1"/>
    <col min="2566" max="2808" width="8.83203125" style="15" customWidth="1"/>
    <col min="2809" max="2809" width="17.5" style="15" customWidth="1"/>
    <col min="2810" max="2810" width="8.83203125" style="15" customWidth="1"/>
    <col min="2811" max="2811" width="10.5" style="15" bestFit="1" customWidth="1"/>
    <col min="2812" max="2812" width="12.33203125" style="15" customWidth="1"/>
    <col min="2813" max="2813" width="10.1640625" style="15" customWidth="1"/>
    <col min="2814" max="2814" width="8.83203125" style="15" customWidth="1"/>
    <col min="2815" max="2815" width="19.5" style="15" customWidth="1"/>
    <col min="2816" max="2819" width="8.83203125" style="15" customWidth="1"/>
    <col min="2820" max="2820" width="17.1640625" style="15" customWidth="1"/>
    <col min="2821" max="2821" width="16.5" style="15" customWidth="1"/>
    <col min="2822" max="3064" width="8.83203125" style="15" customWidth="1"/>
    <col min="3065" max="3065" width="17.5" style="15" customWidth="1"/>
    <col min="3066" max="3066" width="8.83203125" style="15" customWidth="1"/>
    <col min="3067" max="3067" width="10.5" style="15" bestFit="1" customWidth="1"/>
    <col min="3068" max="3068" width="12.33203125" style="15" customWidth="1"/>
    <col min="3069" max="3069" width="10.1640625" style="15" customWidth="1"/>
    <col min="3070" max="3070" width="8.83203125" style="15" customWidth="1"/>
    <col min="3071" max="3071" width="19.5" style="15" customWidth="1"/>
    <col min="3072" max="3075" width="8.83203125" style="15" customWidth="1"/>
    <col min="3076" max="3076" width="17.1640625" style="15" customWidth="1"/>
    <col min="3077" max="3077" width="16.5" style="15" customWidth="1"/>
    <col min="3078" max="3320" width="8.83203125" style="15" customWidth="1"/>
    <col min="3321" max="3321" width="17.5" style="15" customWidth="1"/>
    <col min="3322" max="3322" width="8.83203125" style="15" customWidth="1"/>
    <col min="3323" max="3323" width="10.5" style="15" bestFit="1" customWidth="1"/>
    <col min="3324" max="3324" width="12.33203125" style="15" customWidth="1"/>
    <col min="3325" max="3325" width="10.1640625" style="15" customWidth="1"/>
    <col min="3326" max="3326" width="8.83203125" style="15" customWidth="1"/>
    <col min="3327" max="3327" width="19.5" style="15" customWidth="1"/>
    <col min="3328" max="3331" width="8.83203125" style="15" customWidth="1"/>
    <col min="3332" max="3332" width="17.1640625" style="15" customWidth="1"/>
    <col min="3333" max="3333" width="16.5" style="15" customWidth="1"/>
    <col min="3334" max="3576" width="8.83203125" style="15" customWidth="1"/>
    <col min="3577" max="3577" width="17.5" style="15" customWidth="1"/>
    <col min="3578" max="3578" width="8.83203125" style="15" customWidth="1"/>
    <col min="3579" max="3579" width="10.5" style="15" bestFit="1" customWidth="1"/>
    <col min="3580" max="3580" width="12.33203125" style="15" customWidth="1"/>
    <col min="3581" max="3581" width="10.1640625" style="15" customWidth="1"/>
    <col min="3582" max="3582" width="8.83203125" style="15" customWidth="1"/>
    <col min="3583" max="3583" width="19.5" style="15" customWidth="1"/>
    <col min="3584" max="3587" width="8.83203125" style="15" customWidth="1"/>
    <col min="3588" max="3588" width="17.1640625" style="15" customWidth="1"/>
    <col min="3589" max="3589" width="16.5" style="15" customWidth="1"/>
    <col min="3590" max="3832" width="8.83203125" style="15" customWidth="1"/>
    <col min="3833" max="3833" width="17.5" style="15" customWidth="1"/>
    <col min="3834" max="3834" width="8.83203125" style="15" customWidth="1"/>
    <col min="3835" max="3835" width="10.5" style="15" bestFit="1" customWidth="1"/>
    <col min="3836" max="3836" width="12.33203125" style="15" customWidth="1"/>
    <col min="3837" max="3837" width="10.1640625" style="15" customWidth="1"/>
    <col min="3838" max="3838" width="8.83203125" style="15" customWidth="1"/>
    <col min="3839" max="3839" width="19.5" style="15" customWidth="1"/>
    <col min="3840" max="3843" width="8.83203125" style="15" customWidth="1"/>
    <col min="3844" max="3844" width="17.1640625" style="15" customWidth="1"/>
    <col min="3845" max="3845" width="16.5" style="15" customWidth="1"/>
    <col min="3846" max="4088" width="8.83203125" style="15" customWidth="1"/>
    <col min="4089" max="4089" width="17.5" style="15" customWidth="1"/>
    <col min="4090" max="4090" width="8.83203125" style="15" customWidth="1"/>
    <col min="4091" max="4091" width="10.5" style="15" bestFit="1" customWidth="1"/>
    <col min="4092" max="4092" width="12.33203125" style="15" customWidth="1"/>
    <col min="4093" max="4093" width="10.1640625" style="15" customWidth="1"/>
    <col min="4094" max="4094" width="8.83203125" style="15" customWidth="1"/>
    <col min="4095" max="4095" width="19.5" style="15" customWidth="1"/>
    <col min="4096" max="4099" width="8.83203125" style="15" customWidth="1"/>
    <col min="4100" max="4100" width="17.1640625" style="15" customWidth="1"/>
    <col min="4101" max="4101" width="16.5" style="15" customWidth="1"/>
    <col min="4102" max="4344" width="8.83203125" style="15" customWidth="1"/>
    <col min="4345" max="4345" width="17.5" style="15" customWidth="1"/>
    <col min="4346" max="4346" width="8.83203125" style="15" customWidth="1"/>
    <col min="4347" max="4347" width="10.5" style="15" bestFit="1" customWidth="1"/>
    <col min="4348" max="4348" width="12.33203125" style="15" customWidth="1"/>
    <col min="4349" max="4349" width="10.1640625" style="15" customWidth="1"/>
    <col min="4350" max="4350" width="8.83203125" style="15" customWidth="1"/>
    <col min="4351" max="4351" width="19.5" style="15" customWidth="1"/>
    <col min="4352" max="4355" width="8.83203125" style="15" customWidth="1"/>
    <col min="4356" max="4356" width="17.1640625" style="15" customWidth="1"/>
    <col min="4357" max="4357" width="16.5" style="15" customWidth="1"/>
    <col min="4358" max="4600" width="8.83203125" style="15" customWidth="1"/>
    <col min="4601" max="4601" width="17.5" style="15" customWidth="1"/>
    <col min="4602" max="4602" width="8.83203125" style="15" customWidth="1"/>
    <col min="4603" max="4603" width="10.5" style="15" bestFit="1" customWidth="1"/>
    <col min="4604" max="4604" width="12.33203125" style="15" customWidth="1"/>
    <col min="4605" max="4605" width="10.1640625" style="15" customWidth="1"/>
    <col min="4606" max="4606" width="8.83203125" style="15" customWidth="1"/>
    <col min="4607" max="4607" width="19.5" style="15" customWidth="1"/>
    <col min="4608" max="4611" width="8.83203125" style="15" customWidth="1"/>
    <col min="4612" max="4612" width="17.1640625" style="15" customWidth="1"/>
    <col min="4613" max="4613" width="16.5" style="15" customWidth="1"/>
    <col min="4614" max="4856" width="8.83203125" style="15" customWidth="1"/>
    <col min="4857" max="4857" width="17.5" style="15" customWidth="1"/>
    <col min="4858" max="4858" width="8.83203125" style="15" customWidth="1"/>
    <col min="4859" max="4859" width="10.5" style="15" bestFit="1" customWidth="1"/>
    <col min="4860" max="4860" width="12.33203125" style="15" customWidth="1"/>
    <col min="4861" max="4861" width="10.1640625" style="15" customWidth="1"/>
    <col min="4862" max="4862" width="8.83203125" style="15" customWidth="1"/>
    <col min="4863" max="4863" width="19.5" style="15" customWidth="1"/>
    <col min="4864" max="4867" width="8.83203125" style="15" customWidth="1"/>
    <col min="4868" max="4868" width="17.1640625" style="15" customWidth="1"/>
    <col min="4869" max="4869" width="16.5" style="15" customWidth="1"/>
    <col min="4870" max="5112" width="8.83203125" style="15" customWidth="1"/>
    <col min="5113" max="5113" width="17.5" style="15" customWidth="1"/>
    <col min="5114" max="5114" width="8.83203125" style="15" customWidth="1"/>
    <col min="5115" max="5115" width="10.5" style="15" bestFit="1" customWidth="1"/>
    <col min="5116" max="5116" width="12.33203125" style="15" customWidth="1"/>
    <col min="5117" max="5117" width="10.1640625" style="15" customWidth="1"/>
    <col min="5118" max="5118" width="8.83203125" style="15" customWidth="1"/>
    <col min="5119" max="5119" width="19.5" style="15" customWidth="1"/>
    <col min="5120" max="5123" width="8.83203125" style="15" customWidth="1"/>
    <col min="5124" max="5124" width="17.1640625" style="15" customWidth="1"/>
    <col min="5125" max="5125" width="16.5" style="15" customWidth="1"/>
    <col min="5126" max="5368" width="8.83203125" style="15" customWidth="1"/>
    <col min="5369" max="5369" width="17.5" style="15" customWidth="1"/>
    <col min="5370" max="5370" width="8.83203125" style="15" customWidth="1"/>
    <col min="5371" max="5371" width="10.5" style="15" bestFit="1" customWidth="1"/>
    <col min="5372" max="5372" width="12.33203125" style="15" customWidth="1"/>
    <col min="5373" max="5373" width="10.1640625" style="15" customWidth="1"/>
    <col min="5374" max="5374" width="8.83203125" style="15" customWidth="1"/>
    <col min="5375" max="5375" width="19.5" style="15" customWidth="1"/>
    <col min="5376" max="5379" width="8.83203125" style="15" customWidth="1"/>
    <col min="5380" max="5380" width="17.1640625" style="15" customWidth="1"/>
    <col min="5381" max="5381" width="16.5" style="15" customWidth="1"/>
    <col min="5382" max="5624" width="8.83203125" style="15" customWidth="1"/>
    <col min="5625" max="5625" width="17.5" style="15" customWidth="1"/>
    <col min="5626" max="5626" width="8.83203125" style="15" customWidth="1"/>
    <col min="5627" max="5627" width="10.5" style="15" bestFit="1" customWidth="1"/>
    <col min="5628" max="5628" width="12.33203125" style="15" customWidth="1"/>
    <col min="5629" max="5629" width="10.1640625" style="15" customWidth="1"/>
    <col min="5630" max="5630" width="8.83203125" style="15" customWidth="1"/>
    <col min="5631" max="5631" width="19.5" style="15" customWidth="1"/>
    <col min="5632" max="5635" width="8.83203125" style="15" customWidth="1"/>
    <col min="5636" max="5636" width="17.1640625" style="15" customWidth="1"/>
    <col min="5637" max="5637" width="16.5" style="15" customWidth="1"/>
    <col min="5638" max="5880" width="8.83203125" style="15" customWidth="1"/>
    <col min="5881" max="5881" width="17.5" style="15" customWidth="1"/>
    <col min="5882" max="5882" width="8.83203125" style="15" customWidth="1"/>
    <col min="5883" max="5883" width="10.5" style="15" bestFit="1" customWidth="1"/>
    <col min="5884" max="5884" width="12.33203125" style="15" customWidth="1"/>
    <col min="5885" max="5885" width="10.1640625" style="15" customWidth="1"/>
    <col min="5886" max="5886" width="8.83203125" style="15" customWidth="1"/>
    <col min="5887" max="5887" width="19.5" style="15" customWidth="1"/>
    <col min="5888" max="5891" width="8.83203125" style="15" customWidth="1"/>
    <col min="5892" max="5892" width="17.1640625" style="15" customWidth="1"/>
    <col min="5893" max="5893" width="16.5" style="15" customWidth="1"/>
    <col min="5894" max="6136" width="8.83203125" style="15" customWidth="1"/>
    <col min="6137" max="6137" width="17.5" style="15" customWidth="1"/>
    <col min="6138" max="6138" width="8.83203125" style="15" customWidth="1"/>
    <col min="6139" max="6139" width="10.5" style="15" bestFit="1" customWidth="1"/>
    <col min="6140" max="6140" width="12.33203125" style="15" customWidth="1"/>
    <col min="6141" max="6141" width="10.1640625" style="15" customWidth="1"/>
    <col min="6142" max="6142" width="8.83203125" style="15" customWidth="1"/>
    <col min="6143" max="6143" width="19.5" style="15" customWidth="1"/>
    <col min="6144" max="6147" width="8.83203125" style="15" customWidth="1"/>
    <col min="6148" max="6148" width="17.1640625" style="15" customWidth="1"/>
    <col min="6149" max="6149" width="16.5" style="15" customWidth="1"/>
    <col min="6150" max="6392" width="8.83203125" style="15" customWidth="1"/>
    <col min="6393" max="6393" width="17.5" style="15" customWidth="1"/>
    <col min="6394" max="6394" width="8.83203125" style="15" customWidth="1"/>
    <col min="6395" max="6395" width="10.5" style="15" bestFit="1" customWidth="1"/>
    <col min="6396" max="6396" width="12.33203125" style="15" customWidth="1"/>
    <col min="6397" max="6397" width="10.1640625" style="15" customWidth="1"/>
    <col min="6398" max="6398" width="8.83203125" style="15" customWidth="1"/>
    <col min="6399" max="6399" width="19.5" style="15" customWidth="1"/>
    <col min="6400" max="6403" width="8.83203125" style="15" customWidth="1"/>
    <col min="6404" max="6404" width="17.1640625" style="15" customWidth="1"/>
    <col min="6405" max="6405" width="16.5" style="15" customWidth="1"/>
    <col min="6406" max="6648" width="8.83203125" style="15" customWidth="1"/>
    <col min="6649" max="6649" width="17.5" style="15" customWidth="1"/>
    <col min="6650" max="6650" width="8.83203125" style="15" customWidth="1"/>
    <col min="6651" max="6651" width="10.5" style="15" bestFit="1" customWidth="1"/>
    <col min="6652" max="6652" width="12.33203125" style="15" customWidth="1"/>
    <col min="6653" max="6653" width="10.1640625" style="15" customWidth="1"/>
    <col min="6654" max="6654" width="8.83203125" style="15" customWidth="1"/>
    <col min="6655" max="6655" width="19.5" style="15" customWidth="1"/>
    <col min="6656" max="6659" width="8.83203125" style="15" customWidth="1"/>
    <col min="6660" max="6660" width="17.1640625" style="15" customWidth="1"/>
    <col min="6661" max="6661" width="16.5" style="15" customWidth="1"/>
    <col min="6662" max="6904" width="8.83203125" style="15" customWidth="1"/>
    <col min="6905" max="6905" width="17.5" style="15" customWidth="1"/>
    <col min="6906" max="6906" width="8.83203125" style="15" customWidth="1"/>
    <col min="6907" max="6907" width="10.5" style="15" bestFit="1" customWidth="1"/>
    <col min="6908" max="6908" width="12.33203125" style="15" customWidth="1"/>
    <col min="6909" max="6909" width="10.1640625" style="15" customWidth="1"/>
    <col min="6910" max="6910" width="8.83203125" style="15" customWidth="1"/>
    <col min="6911" max="6911" width="19.5" style="15" customWidth="1"/>
    <col min="6912" max="6915" width="8.83203125" style="15" customWidth="1"/>
    <col min="6916" max="6916" width="17.1640625" style="15" customWidth="1"/>
    <col min="6917" max="6917" width="16.5" style="15" customWidth="1"/>
    <col min="6918" max="7160" width="8.83203125" style="15" customWidth="1"/>
    <col min="7161" max="7161" width="17.5" style="15" customWidth="1"/>
    <col min="7162" max="7162" width="8.83203125" style="15" customWidth="1"/>
    <col min="7163" max="7163" width="10.5" style="15" bestFit="1" customWidth="1"/>
    <col min="7164" max="7164" width="12.33203125" style="15" customWidth="1"/>
    <col min="7165" max="7165" width="10.1640625" style="15" customWidth="1"/>
    <col min="7166" max="7166" width="8.83203125" style="15" customWidth="1"/>
    <col min="7167" max="7167" width="19.5" style="15" customWidth="1"/>
    <col min="7168" max="7171" width="8.83203125" style="15" customWidth="1"/>
    <col min="7172" max="7172" width="17.1640625" style="15" customWidth="1"/>
    <col min="7173" max="7173" width="16.5" style="15" customWidth="1"/>
    <col min="7174" max="7416" width="8.83203125" style="15" customWidth="1"/>
    <col min="7417" max="7417" width="17.5" style="15" customWidth="1"/>
    <col min="7418" max="7418" width="8.83203125" style="15" customWidth="1"/>
    <col min="7419" max="7419" width="10.5" style="15" bestFit="1" customWidth="1"/>
    <col min="7420" max="7420" width="12.33203125" style="15" customWidth="1"/>
    <col min="7421" max="7421" width="10.1640625" style="15" customWidth="1"/>
    <col min="7422" max="7422" width="8.83203125" style="15" customWidth="1"/>
    <col min="7423" max="7423" width="19.5" style="15" customWidth="1"/>
    <col min="7424" max="7427" width="8.83203125" style="15" customWidth="1"/>
    <col min="7428" max="7428" width="17.1640625" style="15" customWidth="1"/>
    <col min="7429" max="7429" width="16.5" style="15" customWidth="1"/>
    <col min="7430" max="7672" width="8.83203125" style="15" customWidth="1"/>
    <col min="7673" max="7673" width="17.5" style="15" customWidth="1"/>
    <col min="7674" max="7674" width="8.83203125" style="15" customWidth="1"/>
    <col min="7675" max="7675" width="10.5" style="15" bestFit="1" customWidth="1"/>
    <col min="7676" max="7676" width="12.33203125" style="15" customWidth="1"/>
    <col min="7677" max="7677" width="10.1640625" style="15" customWidth="1"/>
    <col min="7678" max="7678" width="8.83203125" style="15" customWidth="1"/>
    <col min="7679" max="7679" width="19.5" style="15" customWidth="1"/>
    <col min="7680" max="7683" width="8.83203125" style="15" customWidth="1"/>
    <col min="7684" max="7684" width="17.1640625" style="15" customWidth="1"/>
    <col min="7685" max="7685" width="16.5" style="15" customWidth="1"/>
    <col min="7686" max="7928" width="8.83203125" style="15" customWidth="1"/>
    <col min="7929" max="7929" width="17.5" style="15" customWidth="1"/>
    <col min="7930" max="7930" width="8.83203125" style="15" customWidth="1"/>
    <col min="7931" max="7931" width="10.5" style="15" bestFit="1" customWidth="1"/>
    <col min="7932" max="7932" width="12.33203125" style="15" customWidth="1"/>
    <col min="7933" max="7933" width="10.1640625" style="15" customWidth="1"/>
    <col min="7934" max="7934" width="8.83203125" style="15" customWidth="1"/>
    <col min="7935" max="7935" width="19.5" style="15" customWidth="1"/>
    <col min="7936" max="7939" width="8.83203125" style="15" customWidth="1"/>
    <col min="7940" max="7940" width="17.1640625" style="15" customWidth="1"/>
    <col min="7941" max="7941" width="16.5" style="15" customWidth="1"/>
    <col min="7942" max="8184" width="8.83203125" style="15" customWidth="1"/>
    <col min="8185" max="8185" width="17.5" style="15" customWidth="1"/>
    <col min="8186" max="8186" width="8.83203125" style="15" customWidth="1"/>
    <col min="8187" max="8187" width="10.5" style="15" bestFit="1" customWidth="1"/>
    <col min="8188" max="8188" width="12.33203125" style="15" customWidth="1"/>
    <col min="8189" max="8189" width="10.1640625" style="15" customWidth="1"/>
    <col min="8190" max="8190" width="8.83203125" style="15" customWidth="1"/>
    <col min="8191" max="8191" width="19.5" style="15" customWidth="1"/>
    <col min="8192" max="8195" width="8.83203125" style="15" customWidth="1"/>
    <col min="8196" max="8196" width="17.1640625" style="15" customWidth="1"/>
    <col min="8197" max="8197" width="16.5" style="15" customWidth="1"/>
    <col min="8198" max="8440" width="8.83203125" style="15" customWidth="1"/>
    <col min="8441" max="8441" width="17.5" style="15" customWidth="1"/>
    <col min="8442" max="8442" width="8.83203125" style="15" customWidth="1"/>
    <col min="8443" max="8443" width="10.5" style="15" bestFit="1" customWidth="1"/>
    <col min="8444" max="8444" width="12.33203125" style="15" customWidth="1"/>
    <col min="8445" max="8445" width="10.1640625" style="15" customWidth="1"/>
    <col min="8446" max="8446" width="8.83203125" style="15" customWidth="1"/>
    <col min="8447" max="8447" width="19.5" style="15" customWidth="1"/>
    <col min="8448" max="8451" width="8.83203125" style="15" customWidth="1"/>
    <col min="8452" max="8452" width="17.1640625" style="15" customWidth="1"/>
    <col min="8453" max="8453" width="16.5" style="15" customWidth="1"/>
    <col min="8454" max="8696" width="8.83203125" style="15" customWidth="1"/>
    <col min="8697" max="8697" width="17.5" style="15" customWidth="1"/>
    <col min="8698" max="8698" width="8.83203125" style="15" customWidth="1"/>
    <col min="8699" max="8699" width="10.5" style="15" bestFit="1" customWidth="1"/>
    <col min="8700" max="8700" width="12.33203125" style="15" customWidth="1"/>
    <col min="8701" max="8701" width="10.1640625" style="15" customWidth="1"/>
    <col min="8702" max="8702" width="8.83203125" style="15" customWidth="1"/>
    <col min="8703" max="8703" width="19.5" style="15" customWidth="1"/>
    <col min="8704" max="8707" width="8.83203125" style="15" customWidth="1"/>
    <col min="8708" max="8708" width="17.1640625" style="15" customWidth="1"/>
    <col min="8709" max="8709" width="16.5" style="15" customWidth="1"/>
    <col min="8710" max="8952" width="8.83203125" style="15" customWidth="1"/>
    <col min="8953" max="8953" width="17.5" style="15" customWidth="1"/>
    <col min="8954" max="8954" width="8.83203125" style="15" customWidth="1"/>
    <col min="8955" max="8955" width="10.5" style="15" bestFit="1" customWidth="1"/>
    <col min="8956" max="8956" width="12.33203125" style="15" customWidth="1"/>
    <col min="8957" max="8957" width="10.1640625" style="15" customWidth="1"/>
    <col min="8958" max="8958" width="8.83203125" style="15" customWidth="1"/>
    <col min="8959" max="8959" width="19.5" style="15" customWidth="1"/>
    <col min="8960" max="8963" width="8.83203125" style="15" customWidth="1"/>
    <col min="8964" max="8964" width="17.1640625" style="15" customWidth="1"/>
    <col min="8965" max="8965" width="16.5" style="15" customWidth="1"/>
    <col min="8966" max="9208" width="8.83203125" style="15" customWidth="1"/>
    <col min="9209" max="9209" width="17.5" style="15" customWidth="1"/>
    <col min="9210" max="9210" width="8.83203125" style="15" customWidth="1"/>
    <col min="9211" max="9211" width="10.5" style="15" bestFit="1" customWidth="1"/>
    <col min="9212" max="9212" width="12.33203125" style="15" customWidth="1"/>
    <col min="9213" max="9213" width="10.1640625" style="15" customWidth="1"/>
    <col min="9214" max="9214" width="8.83203125" style="15" customWidth="1"/>
    <col min="9215" max="9215" width="19.5" style="15" customWidth="1"/>
    <col min="9216" max="9219" width="8.83203125" style="15" customWidth="1"/>
    <col min="9220" max="9220" width="17.1640625" style="15" customWidth="1"/>
    <col min="9221" max="9221" width="16.5" style="15" customWidth="1"/>
    <col min="9222" max="9464" width="8.83203125" style="15" customWidth="1"/>
    <col min="9465" max="9465" width="17.5" style="15" customWidth="1"/>
    <col min="9466" max="9466" width="8.83203125" style="15" customWidth="1"/>
    <col min="9467" max="9467" width="10.5" style="15" bestFit="1" customWidth="1"/>
    <col min="9468" max="9468" width="12.33203125" style="15" customWidth="1"/>
    <col min="9469" max="9469" width="10.1640625" style="15" customWidth="1"/>
    <col min="9470" max="9470" width="8.83203125" style="15" customWidth="1"/>
    <col min="9471" max="9471" width="19.5" style="15" customWidth="1"/>
    <col min="9472" max="9475" width="8.83203125" style="15" customWidth="1"/>
    <col min="9476" max="9476" width="17.1640625" style="15" customWidth="1"/>
    <col min="9477" max="9477" width="16.5" style="15" customWidth="1"/>
    <col min="9478" max="9720" width="8.83203125" style="15" customWidth="1"/>
    <col min="9721" max="9721" width="17.5" style="15" customWidth="1"/>
    <col min="9722" max="9722" width="8.83203125" style="15" customWidth="1"/>
    <col min="9723" max="9723" width="10.5" style="15" bestFit="1" customWidth="1"/>
    <col min="9724" max="9724" width="12.33203125" style="15" customWidth="1"/>
    <col min="9725" max="9725" width="10.1640625" style="15" customWidth="1"/>
    <col min="9726" max="9726" width="8.83203125" style="15" customWidth="1"/>
    <col min="9727" max="9727" width="19.5" style="15" customWidth="1"/>
    <col min="9728" max="9731" width="8.83203125" style="15" customWidth="1"/>
    <col min="9732" max="9732" width="17.1640625" style="15" customWidth="1"/>
    <col min="9733" max="9733" width="16.5" style="15" customWidth="1"/>
    <col min="9734" max="9976" width="8.83203125" style="15" customWidth="1"/>
    <col min="9977" max="9977" width="17.5" style="15" customWidth="1"/>
    <col min="9978" max="9978" width="8.83203125" style="15" customWidth="1"/>
    <col min="9979" max="9979" width="10.5" style="15" bestFit="1" customWidth="1"/>
    <col min="9980" max="9980" width="12.33203125" style="15" customWidth="1"/>
    <col min="9981" max="9981" width="10.1640625" style="15" customWidth="1"/>
    <col min="9982" max="9982" width="8.83203125" style="15" customWidth="1"/>
    <col min="9983" max="9983" width="19.5" style="15" customWidth="1"/>
    <col min="9984" max="9987" width="8.83203125" style="15" customWidth="1"/>
    <col min="9988" max="9988" width="17.1640625" style="15" customWidth="1"/>
    <col min="9989" max="9989" width="16.5" style="15" customWidth="1"/>
    <col min="9990" max="10232" width="8.83203125" style="15" customWidth="1"/>
    <col min="10233" max="10233" width="17.5" style="15" customWidth="1"/>
    <col min="10234" max="10234" width="8.83203125" style="15" customWidth="1"/>
    <col min="10235" max="10235" width="10.5" style="15" bestFit="1" customWidth="1"/>
    <col min="10236" max="10236" width="12.33203125" style="15" customWidth="1"/>
    <col min="10237" max="10237" width="10.1640625" style="15" customWidth="1"/>
    <col min="10238" max="10238" width="8.83203125" style="15" customWidth="1"/>
    <col min="10239" max="10239" width="19.5" style="15" customWidth="1"/>
    <col min="10240" max="10243" width="8.83203125" style="15" customWidth="1"/>
    <col min="10244" max="10244" width="17.1640625" style="15" customWidth="1"/>
    <col min="10245" max="10245" width="16.5" style="15" customWidth="1"/>
    <col min="10246" max="10488" width="8.83203125" style="15" customWidth="1"/>
    <col min="10489" max="10489" width="17.5" style="15" customWidth="1"/>
    <col min="10490" max="10490" width="8.83203125" style="15" customWidth="1"/>
    <col min="10491" max="10491" width="10.5" style="15" bestFit="1" customWidth="1"/>
    <col min="10492" max="10492" width="12.33203125" style="15" customWidth="1"/>
    <col min="10493" max="10493" width="10.1640625" style="15" customWidth="1"/>
    <col min="10494" max="10494" width="8.83203125" style="15" customWidth="1"/>
    <col min="10495" max="10495" width="19.5" style="15" customWidth="1"/>
    <col min="10496" max="10499" width="8.83203125" style="15" customWidth="1"/>
    <col min="10500" max="10500" width="17.1640625" style="15" customWidth="1"/>
    <col min="10501" max="10501" width="16.5" style="15" customWidth="1"/>
    <col min="10502" max="10744" width="8.83203125" style="15" customWidth="1"/>
    <col min="10745" max="10745" width="17.5" style="15" customWidth="1"/>
    <col min="10746" max="10746" width="8.83203125" style="15" customWidth="1"/>
    <col min="10747" max="10747" width="10.5" style="15" bestFit="1" customWidth="1"/>
    <col min="10748" max="10748" width="12.33203125" style="15" customWidth="1"/>
    <col min="10749" max="10749" width="10.1640625" style="15" customWidth="1"/>
    <col min="10750" max="10750" width="8.83203125" style="15" customWidth="1"/>
    <col min="10751" max="10751" width="19.5" style="15" customWidth="1"/>
    <col min="10752" max="10755" width="8.83203125" style="15" customWidth="1"/>
    <col min="10756" max="10756" width="17.1640625" style="15" customWidth="1"/>
    <col min="10757" max="10757" width="16.5" style="15" customWidth="1"/>
    <col min="10758" max="11000" width="8.83203125" style="15" customWidth="1"/>
    <col min="11001" max="11001" width="17.5" style="15" customWidth="1"/>
    <col min="11002" max="11002" width="8.83203125" style="15" customWidth="1"/>
    <col min="11003" max="11003" width="10.5" style="15" bestFit="1" customWidth="1"/>
    <col min="11004" max="11004" width="12.33203125" style="15" customWidth="1"/>
    <col min="11005" max="11005" width="10.1640625" style="15" customWidth="1"/>
    <col min="11006" max="11006" width="8.83203125" style="15" customWidth="1"/>
    <col min="11007" max="11007" width="19.5" style="15" customWidth="1"/>
    <col min="11008" max="11011" width="8.83203125" style="15" customWidth="1"/>
    <col min="11012" max="11012" width="17.1640625" style="15" customWidth="1"/>
    <col min="11013" max="11013" width="16.5" style="15" customWidth="1"/>
    <col min="11014" max="11256" width="8.83203125" style="15" customWidth="1"/>
    <col min="11257" max="11257" width="17.5" style="15" customWidth="1"/>
    <col min="11258" max="11258" width="8.83203125" style="15" customWidth="1"/>
    <col min="11259" max="11259" width="10.5" style="15" bestFit="1" customWidth="1"/>
    <col min="11260" max="11260" width="12.33203125" style="15" customWidth="1"/>
    <col min="11261" max="11261" width="10.1640625" style="15" customWidth="1"/>
    <col min="11262" max="11262" width="8.83203125" style="15" customWidth="1"/>
    <col min="11263" max="11263" width="19.5" style="15" customWidth="1"/>
    <col min="11264" max="11267" width="8.83203125" style="15" customWidth="1"/>
    <col min="11268" max="11268" width="17.1640625" style="15" customWidth="1"/>
    <col min="11269" max="11269" width="16.5" style="15" customWidth="1"/>
    <col min="11270" max="11512" width="8.83203125" style="15" customWidth="1"/>
    <col min="11513" max="11513" width="17.5" style="15" customWidth="1"/>
    <col min="11514" max="11514" width="8.83203125" style="15" customWidth="1"/>
    <col min="11515" max="11515" width="10.5" style="15" bestFit="1" customWidth="1"/>
    <col min="11516" max="11516" width="12.33203125" style="15" customWidth="1"/>
    <col min="11517" max="11517" width="10.1640625" style="15" customWidth="1"/>
    <col min="11518" max="11518" width="8.83203125" style="15" customWidth="1"/>
    <col min="11519" max="11519" width="19.5" style="15" customWidth="1"/>
    <col min="11520" max="11523" width="8.83203125" style="15" customWidth="1"/>
    <col min="11524" max="11524" width="17.1640625" style="15" customWidth="1"/>
    <col min="11525" max="11525" width="16.5" style="15" customWidth="1"/>
    <col min="11526" max="11768" width="8.83203125" style="15" customWidth="1"/>
    <col min="11769" max="11769" width="17.5" style="15" customWidth="1"/>
    <col min="11770" max="11770" width="8.83203125" style="15" customWidth="1"/>
    <col min="11771" max="11771" width="10.5" style="15" bestFit="1" customWidth="1"/>
    <col min="11772" max="11772" width="12.33203125" style="15" customWidth="1"/>
    <col min="11773" max="11773" width="10.1640625" style="15" customWidth="1"/>
    <col min="11774" max="11774" width="8.83203125" style="15" customWidth="1"/>
    <col min="11775" max="11775" width="19.5" style="15" customWidth="1"/>
    <col min="11776" max="11779" width="8.83203125" style="15" customWidth="1"/>
    <col min="11780" max="11780" width="17.1640625" style="15" customWidth="1"/>
    <col min="11781" max="11781" width="16.5" style="15" customWidth="1"/>
    <col min="11782" max="12024" width="8.83203125" style="15" customWidth="1"/>
    <col min="12025" max="12025" width="17.5" style="15" customWidth="1"/>
    <col min="12026" max="12026" width="8.83203125" style="15" customWidth="1"/>
    <col min="12027" max="12027" width="10.5" style="15" bestFit="1" customWidth="1"/>
    <col min="12028" max="12028" width="12.33203125" style="15" customWidth="1"/>
    <col min="12029" max="12029" width="10.1640625" style="15" customWidth="1"/>
    <col min="12030" max="12030" width="8.83203125" style="15" customWidth="1"/>
    <col min="12031" max="12031" width="19.5" style="15" customWidth="1"/>
    <col min="12032" max="12035" width="8.83203125" style="15" customWidth="1"/>
    <col min="12036" max="12036" width="17.1640625" style="15" customWidth="1"/>
    <col min="12037" max="12037" width="16.5" style="15" customWidth="1"/>
    <col min="12038" max="12280" width="8.83203125" style="15" customWidth="1"/>
    <col min="12281" max="12281" width="17.5" style="15" customWidth="1"/>
    <col min="12282" max="12282" width="8.83203125" style="15" customWidth="1"/>
    <col min="12283" max="12283" width="10.5" style="15" bestFit="1" customWidth="1"/>
    <col min="12284" max="12284" width="12.33203125" style="15" customWidth="1"/>
    <col min="12285" max="12285" width="10.1640625" style="15" customWidth="1"/>
    <col min="12286" max="12286" width="8.83203125" style="15" customWidth="1"/>
    <col min="12287" max="12287" width="19.5" style="15" customWidth="1"/>
    <col min="12288" max="12291" width="8.83203125" style="15" customWidth="1"/>
    <col min="12292" max="12292" width="17.1640625" style="15" customWidth="1"/>
    <col min="12293" max="12293" width="16.5" style="15" customWidth="1"/>
    <col min="12294" max="12536" width="8.83203125" style="15" customWidth="1"/>
    <col min="12537" max="12537" width="17.5" style="15" customWidth="1"/>
    <col min="12538" max="12538" width="8.83203125" style="15" customWidth="1"/>
    <col min="12539" max="12539" width="10.5" style="15" bestFit="1" customWidth="1"/>
    <col min="12540" max="12540" width="12.33203125" style="15" customWidth="1"/>
    <col min="12541" max="12541" width="10.1640625" style="15" customWidth="1"/>
    <col min="12542" max="12542" width="8.83203125" style="15" customWidth="1"/>
    <col min="12543" max="12543" width="19.5" style="15" customWidth="1"/>
    <col min="12544" max="12547" width="8.83203125" style="15" customWidth="1"/>
    <col min="12548" max="12548" width="17.1640625" style="15" customWidth="1"/>
    <col min="12549" max="12549" width="16.5" style="15" customWidth="1"/>
    <col min="12550" max="12792" width="8.83203125" style="15" customWidth="1"/>
    <col min="12793" max="12793" width="17.5" style="15" customWidth="1"/>
    <col min="12794" max="12794" width="8.83203125" style="15" customWidth="1"/>
    <col min="12795" max="12795" width="10.5" style="15" bestFit="1" customWidth="1"/>
    <col min="12796" max="12796" width="12.33203125" style="15" customWidth="1"/>
    <col min="12797" max="12797" width="10.1640625" style="15" customWidth="1"/>
    <col min="12798" max="12798" width="8.83203125" style="15" customWidth="1"/>
    <col min="12799" max="12799" width="19.5" style="15" customWidth="1"/>
    <col min="12800" max="12803" width="8.83203125" style="15" customWidth="1"/>
    <col min="12804" max="12804" width="17.1640625" style="15" customWidth="1"/>
    <col min="12805" max="12805" width="16.5" style="15" customWidth="1"/>
    <col min="12806" max="13048" width="8.83203125" style="15" customWidth="1"/>
    <col min="13049" max="13049" width="17.5" style="15" customWidth="1"/>
    <col min="13050" max="13050" width="8.83203125" style="15" customWidth="1"/>
    <col min="13051" max="13051" width="10.5" style="15" bestFit="1" customWidth="1"/>
    <col min="13052" max="13052" width="12.33203125" style="15" customWidth="1"/>
    <col min="13053" max="13053" width="10.1640625" style="15" customWidth="1"/>
    <col min="13054" max="13054" width="8.83203125" style="15" customWidth="1"/>
    <col min="13055" max="13055" width="19.5" style="15" customWidth="1"/>
    <col min="13056" max="13059" width="8.83203125" style="15" customWidth="1"/>
    <col min="13060" max="13060" width="17.1640625" style="15" customWidth="1"/>
    <col min="13061" max="13061" width="16.5" style="15" customWidth="1"/>
    <col min="13062" max="13304" width="8.83203125" style="15" customWidth="1"/>
    <col min="13305" max="13305" width="17.5" style="15" customWidth="1"/>
    <col min="13306" max="13306" width="8.83203125" style="15" customWidth="1"/>
    <col min="13307" max="13307" width="10.5" style="15" bestFit="1" customWidth="1"/>
    <col min="13308" max="13308" width="12.33203125" style="15" customWidth="1"/>
    <col min="13309" max="13309" width="10.1640625" style="15" customWidth="1"/>
    <col min="13310" max="13310" width="8.83203125" style="15" customWidth="1"/>
    <col min="13311" max="13311" width="19.5" style="15" customWidth="1"/>
    <col min="13312" max="13315" width="8.83203125" style="15" customWidth="1"/>
    <col min="13316" max="13316" width="17.1640625" style="15" customWidth="1"/>
    <col min="13317" max="13317" width="16.5" style="15" customWidth="1"/>
    <col min="13318" max="13560" width="8.83203125" style="15" customWidth="1"/>
    <col min="13561" max="13561" width="17.5" style="15" customWidth="1"/>
    <col min="13562" max="13562" width="8.83203125" style="15" customWidth="1"/>
    <col min="13563" max="13563" width="10.5" style="15" bestFit="1" customWidth="1"/>
    <col min="13564" max="13564" width="12.33203125" style="15" customWidth="1"/>
    <col min="13565" max="13565" width="10.1640625" style="15" customWidth="1"/>
    <col min="13566" max="13566" width="8.83203125" style="15" customWidth="1"/>
    <col min="13567" max="13567" width="19.5" style="15" customWidth="1"/>
    <col min="13568" max="13571" width="8.83203125" style="15" customWidth="1"/>
    <col min="13572" max="13572" width="17.1640625" style="15" customWidth="1"/>
    <col min="13573" max="13573" width="16.5" style="15" customWidth="1"/>
    <col min="13574" max="13816" width="8.83203125" style="15" customWidth="1"/>
    <col min="13817" max="13817" width="17.5" style="15" customWidth="1"/>
    <col min="13818" max="13818" width="8.83203125" style="15" customWidth="1"/>
    <col min="13819" max="13819" width="10.5" style="15" bestFit="1" customWidth="1"/>
    <col min="13820" max="13820" width="12.33203125" style="15" customWidth="1"/>
    <col min="13821" max="13821" width="10.1640625" style="15" customWidth="1"/>
    <col min="13822" max="13822" width="8.83203125" style="15" customWidth="1"/>
    <col min="13823" max="13823" width="19.5" style="15" customWidth="1"/>
    <col min="13824" max="13827" width="8.83203125" style="15" customWidth="1"/>
    <col min="13828" max="13828" width="17.1640625" style="15" customWidth="1"/>
    <col min="13829" max="13829" width="16.5" style="15" customWidth="1"/>
    <col min="13830" max="14072" width="8.83203125" style="15" customWidth="1"/>
    <col min="14073" max="14073" width="17.5" style="15" customWidth="1"/>
    <col min="14074" max="14074" width="8.83203125" style="15" customWidth="1"/>
    <col min="14075" max="14075" width="10.5" style="15" bestFit="1" customWidth="1"/>
    <col min="14076" max="14076" width="12.33203125" style="15" customWidth="1"/>
    <col min="14077" max="14077" width="10.1640625" style="15" customWidth="1"/>
    <col min="14078" max="14078" width="8.83203125" style="15" customWidth="1"/>
    <col min="14079" max="14079" width="19.5" style="15" customWidth="1"/>
    <col min="14080" max="14083" width="8.83203125" style="15" customWidth="1"/>
    <col min="14084" max="14084" width="17.1640625" style="15" customWidth="1"/>
    <col min="14085" max="14085" width="16.5" style="15" customWidth="1"/>
    <col min="14086" max="14328" width="8.83203125" style="15" customWidth="1"/>
    <col min="14329" max="14329" width="17.5" style="15" customWidth="1"/>
    <col min="14330" max="14330" width="8.83203125" style="15" customWidth="1"/>
    <col min="14331" max="14331" width="10.5" style="15" bestFit="1" customWidth="1"/>
    <col min="14332" max="14332" width="12.33203125" style="15" customWidth="1"/>
    <col min="14333" max="14333" width="10.1640625" style="15" customWidth="1"/>
    <col min="14334" max="14334" width="8.83203125" style="15" customWidth="1"/>
    <col min="14335" max="14335" width="19.5" style="15" customWidth="1"/>
    <col min="14336" max="14339" width="8.83203125" style="15" customWidth="1"/>
    <col min="14340" max="14340" width="17.1640625" style="15" customWidth="1"/>
    <col min="14341" max="14341" width="16.5" style="15" customWidth="1"/>
    <col min="14342" max="14584" width="8.83203125" style="15" customWidth="1"/>
    <col min="14585" max="14585" width="17.5" style="15" customWidth="1"/>
    <col min="14586" max="14586" width="8.83203125" style="15" customWidth="1"/>
    <col min="14587" max="14587" width="10.5" style="15" bestFit="1" customWidth="1"/>
    <col min="14588" max="14588" width="12.33203125" style="15" customWidth="1"/>
    <col min="14589" max="14589" width="10.1640625" style="15" customWidth="1"/>
    <col min="14590" max="14590" width="8.83203125" style="15" customWidth="1"/>
    <col min="14591" max="14591" width="19.5" style="15" customWidth="1"/>
    <col min="14592" max="14595" width="8.83203125" style="15" customWidth="1"/>
    <col min="14596" max="14596" width="17.1640625" style="15" customWidth="1"/>
    <col min="14597" max="14597" width="16.5" style="15" customWidth="1"/>
    <col min="14598" max="14840" width="8.83203125" style="15" customWidth="1"/>
    <col min="14841" max="14841" width="17.5" style="15" customWidth="1"/>
    <col min="14842" max="14842" width="8.83203125" style="15" customWidth="1"/>
    <col min="14843" max="14843" width="10.5" style="15" bestFit="1" customWidth="1"/>
    <col min="14844" max="14844" width="12.33203125" style="15" customWidth="1"/>
    <col min="14845" max="14845" width="10.1640625" style="15" customWidth="1"/>
    <col min="14846" max="14846" width="8.83203125" style="15" customWidth="1"/>
    <col min="14847" max="14847" width="19.5" style="15" customWidth="1"/>
    <col min="14848" max="14851" width="8.83203125" style="15" customWidth="1"/>
    <col min="14852" max="14852" width="17.1640625" style="15" customWidth="1"/>
    <col min="14853" max="14853" width="16.5" style="15" customWidth="1"/>
    <col min="14854" max="15096" width="8.83203125" style="15" customWidth="1"/>
    <col min="15097" max="15097" width="17.5" style="15" customWidth="1"/>
    <col min="15098" max="15098" width="8.83203125" style="15" customWidth="1"/>
    <col min="15099" max="15099" width="10.5" style="15" bestFit="1" customWidth="1"/>
    <col min="15100" max="15100" width="12.33203125" style="15" customWidth="1"/>
    <col min="15101" max="15101" width="10.1640625" style="15" customWidth="1"/>
    <col min="15102" max="15102" width="8.83203125" style="15" customWidth="1"/>
    <col min="15103" max="15103" width="19.5" style="15" customWidth="1"/>
    <col min="15104" max="15107" width="8.83203125" style="15" customWidth="1"/>
    <col min="15108" max="15108" width="17.1640625" style="15" customWidth="1"/>
    <col min="15109" max="15109" width="16.5" style="15" customWidth="1"/>
    <col min="15110" max="15352" width="8.83203125" style="15" customWidth="1"/>
    <col min="15353" max="15353" width="17.5" style="15" customWidth="1"/>
    <col min="15354" max="15354" width="8.83203125" style="15" customWidth="1"/>
    <col min="15355" max="15355" width="10.5" style="15" bestFit="1" customWidth="1"/>
    <col min="15356" max="15356" width="12.33203125" style="15" customWidth="1"/>
    <col min="15357" max="15357" width="10.1640625" style="15" customWidth="1"/>
    <col min="15358" max="15358" width="8.83203125" style="15" customWidth="1"/>
    <col min="15359" max="15359" width="19.5" style="15" customWidth="1"/>
    <col min="15360" max="15363" width="8.83203125" style="15" customWidth="1"/>
    <col min="15364" max="15364" width="17.1640625" style="15" customWidth="1"/>
    <col min="15365" max="15365" width="16.5" style="15" customWidth="1"/>
    <col min="15366" max="15608" width="8.83203125" style="15" customWidth="1"/>
    <col min="15609" max="15609" width="17.5" style="15" customWidth="1"/>
    <col min="15610" max="15610" width="8.83203125" style="15" customWidth="1"/>
    <col min="15611" max="15611" width="10.5" style="15" bestFit="1" customWidth="1"/>
    <col min="15612" max="15612" width="12.33203125" style="15" customWidth="1"/>
    <col min="15613" max="15613" width="10.1640625" style="15" customWidth="1"/>
    <col min="15614" max="15614" width="8.83203125" style="15" customWidth="1"/>
    <col min="15615" max="15615" width="19.5" style="15" customWidth="1"/>
    <col min="15616" max="15619" width="8.83203125" style="15" customWidth="1"/>
    <col min="15620" max="15620" width="17.1640625" style="15" customWidth="1"/>
    <col min="15621" max="15621" width="16.5" style="15" customWidth="1"/>
    <col min="15622" max="15864" width="8.83203125" style="15" customWidth="1"/>
    <col min="15865" max="15865" width="17.5" style="15" customWidth="1"/>
    <col min="15866" max="15866" width="8.83203125" style="15" customWidth="1"/>
    <col min="15867" max="15867" width="10.5" style="15" bestFit="1" customWidth="1"/>
    <col min="15868" max="15868" width="12.33203125" style="15" customWidth="1"/>
    <col min="15869" max="15869" width="10.1640625" style="15" customWidth="1"/>
    <col min="15870" max="15870" width="8.83203125" style="15" customWidth="1"/>
    <col min="15871" max="15871" width="19.5" style="15" customWidth="1"/>
    <col min="15872" max="15875" width="8.83203125" style="15" customWidth="1"/>
    <col min="15876" max="15876" width="17.1640625" style="15" customWidth="1"/>
    <col min="15877" max="15877" width="16.5" style="15" customWidth="1"/>
    <col min="15878" max="16120" width="8.83203125" style="15" customWidth="1"/>
    <col min="16121" max="16121" width="17.5" style="15" customWidth="1"/>
    <col min="16122" max="16122" width="8.83203125" style="15" customWidth="1"/>
    <col min="16123" max="16123" width="10.5" style="15" bestFit="1" customWidth="1"/>
    <col min="16124" max="16124" width="12.33203125" style="15" customWidth="1"/>
    <col min="16125" max="16125" width="10.1640625" style="15" customWidth="1"/>
    <col min="16126" max="16126" width="8.83203125" style="15" customWidth="1"/>
    <col min="16127" max="16127" width="19.5" style="15" customWidth="1"/>
    <col min="16128" max="16131" width="8.83203125" style="15" customWidth="1"/>
    <col min="16132" max="16132" width="17.1640625" style="15" customWidth="1"/>
    <col min="16133" max="16133" width="16.5" style="15" customWidth="1"/>
    <col min="16134" max="16384" width="8.83203125" style="15" customWidth="1"/>
  </cols>
  <sheetData>
    <row r="1" spans="2:35">
      <c r="P1" s="43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43"/>
      <c r="AD1" s="43"/>
      <c r="AE1" s="43"/>
      <c r="AF1" s="43"/>
      <c r="AG1" s="37"/>
      <c r="AH1" s="37"/>
      <c r="AI1" s="37"/>
    </row>
    <row r="2" spans="2:35">
      <c r="B2" s="18"/>
      <c r="C2" s="19" t="s">
        <v>9</v>
      </c>
      <c r="M2" s="15" t="s">
        <v>69</v>
      </c>
    </row>
    <row r="3" spans="2:35">
      <c r="B3" s="20" t="s">
        <v>0</v>
      </c>
      <c r="C3" s="21">
        <v>45435</v>
      </c>
    </row>
    <row r="4" spans="2:35">
      <c r="B4" s="22" t="s">
        <v>21</v>
      </c>
      <c r="C4" s="35">
        <v>0.5</v>
      </c>
      <c r="F4" s="51"/>
      <c r="G4" s="51"/>
      <c r="H4" s="51"/>
      <c r="I4" s="51"/>
      <c r="M4" s="15" t="s">
        <v>46</v>
      </c>
      <c r="N4" s="47">
        <f>PI()/180</f>
        <v>1.7453292519943295E-2</v>
      </c>
      <c r="P4" s="45" t="s">
        <v>28</v>
      </c>
      <c r="Q4" s="38"/>
      <c r="R4" s="38"/>
      <c r="S4" s="38"/>
      <c r="T4" s="38"/>
      <c r="U4" s="38"/>
      <c r="V4" s="38"/>
      <c r="W4" s="37"/>
      <c r="X4" s="37"/>
      <c r="Y4" s="37"/>
      <c r="Z4" s="37"/>
      <c r="AA4" s="37"/>
      <c r="AB4" s="38" t="s">
        <v>29</v>
      </c>
      <c r="AC4" s="44"/>
      <c r="AD4" s="44"/>
      <c r="AE4" s="44"/>
      <c r="AF4" s="44"/>
      <c r="AG4" s="38"/>
      <c r="AH4" s="37"/>
      <c r="AI4" s="37"/>
    </row>
    <row r="5" spans="2:35">
      <c r="B5" s="23" t="s">
        <v>5</v>
      </c>
      <c r="C5" s="24" t="str">
        <f>IF(OR(MOD(YEAR(C3),400)=0,AND(MOD(YEAR(C3),4)=0,MOD(YEAR(C3),100)&lt;&gt;0)),"Y", "N")</f>
        <v>Y</v>
      </c>
      <c r="M5" s="15" t="s">
        <v>30</v>
      </c>
      <c r="N5" s="47">
        <f>MOD(218.3164591+481267.88134236*$C$10-0.0013268*POWER($C$10,2)+(POWER($C$10,3)/538841)-(POWER($C$10,4)/65194000),360)</f>
        <v>246.83259864490537</v>
      </c>
      <c r="P5" s="43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43"/>
      <c r="AD5" s="43"/>
      <c r="AE5" s="43"/>
      <c r="AF5" s="43"/>
      <c r="AG5" s="37"/>
      <c r="AH5" s="37"/>
      <c r="AI5" s="37"/>
    </row>
    <row r="6" spans="2:35" ht="18">
      <c r="B6" s="23" t="s">
        <v>6</v>
      </c>
      <c r="C6" s="25">
        <f>INT(275*MONTH(C3)/9)-IF(C5="Y",1,2)*INT((MONTH(C3)+9)/12)+DAY(C3)-30</f>
        <v>144</v>
      </c>
      <c r="M6" s="15" t="s">
        <v>24</v>
      </c>
      <c r="N6" s="47">
        <f>MOD(297.8502042+445267.1115168*$C$10-0.00163*POWER($C$10,2)+(POWER($C$10,3)/545868)-(POWER($C$10,4)/113065000),360)</f>
        <v>185.23399508533475</v>
      </c>
      <c r="P6" s="39" t="s">
        <v>23</v>
      </c>
      <c r="Q6" s="48" t="s">
        <v>24</v>
      </c>
      <c r="R6" s="48" t="s">
        <v>25</v>
      </c>
      <c r="S6" s="48" t="s">
        <v>26</v>
      </c>
      <c r="T6" s="48" t="s">
        <v>27</v>
      </c>
      <c r="U6" s="46" t="s">
        <v>37</v>
      </c>
      <c r="V6" s="46" t="s">
        <v>38</v>
      </c>
      <c r="W6" s="46" t="s">
        <v>39</v>
      </c>
      <c r="X6" s="46" t="s">
        <v>40</v>
      </c>
      <c r="Y6" s="46" t="s">
        <v>41</v>
      </c>
      <c r="Z6" s="46" t="s">
        <v>42</v>
      </c>
      <c r="AA6" s="37"/>
      <c r="AB6" s="39" t="s">
        <v>23</v>
      </c>
      <c r="AC6" s="48" t="s">
        <v>24</v>
      </c>
      <c r="AD6" s="48" t="s">
        <v>25</v>
      </c>
      <c r="AE6" s="48" t="s">
        <v>26</v>
      </c>
      <c r="AF6" s="48" t="s">
        <v>27</v>
      </c>
      <c r="AG6" s="46" t="s">
        <v>43</v>
      </c>
      <c r="AH6" s="46" t="s">
        <v>44</v>
      </c>
      <c r="AI6" s="46" t="s">
        <v>45</v>
      </c>
    </row>
    <row r="7" spans="2:35">
      <c r="B7" s="23" t="s">
        <v>10</v>
      </c>
      <c r="C7" s="25" t="str">
        <f>IF(INT(MOD(C8+1.5,7))=1,"Monday",IF(INT(MOD(C8+1.5,7))=2,"Tuesday",IF(INT(MOD(C8+1.5,7))=3,"Wednesday",IF(INT(MOD(C8+1.5,7))=4,"Thursday",IF(INT(MOD(C8+1.5,7))=5,"Friday",IF(INT(MOD(C8+1.5,7))=6,"Saturday","Sunday"))))))</f>
        <v>Thursday</v>
      </c>
      <c r="M7" s="15" t="s">
        <v>25</v>
      </c>
      <c r="N7" s="47">
        <f>MOD(357.5291092+35999.0502909*$C$10-0.0001536*POWER($C$10,2)+(POWER($C$10,3)/24490000),360)</f>
        <v>138.24201016840198</v>
      </c>
      <c r="P7" s="40">
        <v>1</v>
      </c>
      <c r="Q7" s="41">
        <v>0</v>
      </c>
      <c r="R7" s="41">
        <v>0</v>
      </c>
      <c r="S7" s="41">
        <v>1</v>
      </c>
      <c r="T7" s="41">
        <v>0</v>
      </c>
      <c r="U7" s="42">
        <v>6288774</v>
      </c>
      <c r="V7" s="42">
        <v>-20905355</v>
      </c>
      <c r="W7" s="42">
        <f t="shared" ref="W7:W38" si="0">IF(ABS($R7)=1,U7*$N$13,IF(ABS($R7)=2,U7*$N$14,U7))</f>
        <v>6288774</v>
      </c>
      <c r="X7" s="42">
        <f t="shared" ref="X7:X38" si="1">IF(ABS($R7)=1,V7*$N$13,IF(ABS($R7)=2,V7*$N$14,V7))</f>
        <v>-20905355</v>
      </c>
      <c r="Y7" s="42">
        <f t="shared" ref="Y7:Y38" si="2">W7*SIN($N$4*($Q7*$N$6+$R7*$N$7+$S7*$N$8+$T7*$N$9))</f>
        <v>-5945658.2834046949</v>
      </c>
      <c r="Z7" s="42">
        <f t="shared" ref="Z7:Z38" si="3">X7*COS($N$4*($Q7*$N$6+$R7*$N$7+$S7*$N$8+$T7*$N$9))</f>
        <v>6810888.5794618037</v>
      </c>
      <c r="AA7" s="37"/>
      <c r="AB7" s="40">
        <v>1</v>
      </c>
      <c r="AC7" s="41">
        <v>0</v>
      </c>
      <c r="AD7" s="41">
        <v>0</v>
      </c>
      <c r="AE7" s="41">
        <v>0</v>
      </c>
      <c r="AF7" s="41">
        <v>1</v>
      </c>
      <c r="AG7" s="42">
        <v>5128122</v>
      </c>
      <c r="AH7" s="42">
        <f t="shared" ref="AH7:AH38" si="4">IF(ABS(AD7)=1,AG7*$N$13,IF(ABS(AD7)=2,AG7*$N$14,AG7))</f>
        <v>5128122</v>
      </c>
      <c r="AI7" s="42">
        <f t="shared" ref="AI7:AI38" si="5">AH7*SIN($N$4*(AC7*$N$6+AD7*$N$7+AE7*$N$8+AF7*$N$9))</f>
        <v>-4125105.8958134279</v>
      </c>
    </row>
    <row r="8" spans="2:35">
      <c r="B8" s="23" t="s">
        <v>11</v>
      </c>
      <c r="C8" s="26">
        <f>367*YEAR(C3)-INT(7/4*YEAR(C3))-INT(3*(INT((YEAR(C3)-8/7)/100)+1)/4)+1721059.5-1+C6</f>
        <v>2460453.5</v>
      </c>
      <c r="M8" s="15" t="s">
        <v>26</v>
      </c>
      <c r="N8" s="47">
        <f>MOD(134.9634114+477198.8676313*$C$10+0.008997*POWER($C$10,2)+(POWER($C$10,3)/69699)-(POWER($C$10,4)/14712000),360)</f>
        <v>250.98617076172377</v>
      </c>
      <c r="P8" s="40">
        <v>2</v>
      </c>
      <c r="Q8" s="41">
        <v>2</v>
      </c>
      <c r="R8" s="41">
        <v>0</v>
      </c>
      <c r="S8" s="41">
        <v>-1</v>
      </c>
      <c r="T8" s="41">
        <v>0</v>
      </c>
      <c r="U8" s="42">
        <v>1274027</v>
      </c>
      <c r="V8" s="42">
        <v>-3699111</v>
      </c>
      <c r="W8" s="42">
        <f t="shared" si="0"/>
        <v>1274027</v>
      </c>
      <c r="X8" s="42">
        <f t="shared" si="1"/>
        <v>-3699111</v>
      </c>
      <c r="Y8" s="42">
        <f t="shared" si="2"/>
        <v>1109055.6690316035</v>
      </c>
      <c r="Z8" s="42">
        <f t="shared" si="3"/>
        <v>1820507.7193978208</v>
      </c>
      <c r="AA8" s="37"/>
      <c r="AB8" s="40">
        <v>2</v>
      </c>
      <c r="AC8" s="41">
        <v>0</v>
      </c>
      <c r="AD8" s="41">
        <v>0</v>
      </c>
      <c r="AE8" s="41">
        <v>1</v>
      </c>
      <c r="AF8" s="41">
        <v>1</v>
      </c>
      <c r="AG8" s="42">
        <v>280602</v>
      </c>
      <c r="AH8" s="42">
        <f t="shared" si="4"/>
        <v>280602</v>
      </c>
      <c r="AI8" s="42">
        <f t="shared" si="5"/>
        <v>231142.22425957469</v>
      </c>
    </row>
    <row r="9" spans="2:35">
      <c r="B9" s="23" t="s">
        <v>12</v>
      </c>
      <c r="C9" s="26">
        <f>C8-2451545+((HOUR($C$4)+(MINUTE($C$4)/60))/24)</f>
        <v>8909</v>
      </c>
      <c r="M9" s="15" t="s">
        <v>27</v>
      </c>
      <c r="N9" s="47">
        <f>MOD(93.2720993+483202.0175273*$C$10-0.0034029*POWER($C$10,2)+(POWER($C$10,3)/3526000)-(POWER($C$10,4)/863310000),360)</f>
        <v>233.5531877662288</v>
      </c>
      <c r="P9" s="40">
        <v>3</v>
      </c>
      <c r="Q9" s="41">
        <v>2</v>
      </c>
      <c r="R9" s="41">
        <v>0</v>
      </c>
      <c r="S9" s="41">
        <v>0</v>
      </c>
      <c r="T9" s="41">
        <v>0</v>
      </c>
      <c r="U9" s="42">
        <v>658314</v>
      </c>
      <c r="V9" s="42">
        <v>-2955968</v>
      </c>
      <c r="W9" s="42">
        <f t="shared" si="0"/>
        <v>658314</v>
      </c>
      <c r="X9" s="42">
        <f t="shared" si="1"/>
        <v>-2955968</v>
      </c>
      <c r="Y9" s="42">
        <f t="shared" si="2"/>
        <v>119606.55278196777</v>
      </c>
      <c r="Z9" s="42">
        <f t="shared" si="3"/>
        <v>-2906770.5384139428</v>
      </c>
      <c r="AA9" s="37"/>
      <c r="AB9" s="40">
        <v>3</v>
      </c>
      <c r="AC9" s="41">
        <v>0</v>
      </c>
      <c r="AD9" s="41">
        <v>0</v>
      </c>
      <c r="AE9" s="41">
        <v>1</v>
      </c>
      <c r="AF9" s="41">
        <v>-1</v>
      </c>
      <c r="AG9" s="42">
        <v>277693</v>
      </c>
      <c r="AH9" s="42">
        <f t="shared" si="4"/>
        <v>277693</v>
      </c>
      <c r="AI9" s="42">
        <f t="shared" si="5"/>
        <v>83194.063211167391</v>
      </c>
    </row>
    <row r="10" spans="2:35">
      <c r="B10" s="23" t="s">
        <v>22</v>
      </c>
      <c r="C10" s="36">
        <f>C9/36525</f>
        <v>0.24391512662559892</v>
      </c>
      <c r="M10" s="15" t="s">
        <v>31</v>
      </c>
      <c r="N10" s="47">
        <f>MOD(119.75+131.849*$C$10,360)</f>
        <v>151.90996553045858</v>
      </c>
      <c r="P10" s="40">
        <v>4</v>
      </c>
      <c r="Q10" s="41">
        <v>0</v>
      </c>
      <c r="R10" s="41">
        <v>0</v>
      </c>
      <c r="S10" s="41">
        <v>2</v>
      </c>
      <c r="T10" s="41">
        <v>0</v>
      </c>
      <c r="U10" s="42">
        <v>213618</v>
      </c>
      <c r="V10" s="42">
        <v>-569925</v>
      </c>
      <c r="W10" s="42">
        <f t="shared" si="0"/>
        <v>213618</v>
      </c>
      <c r="X10" s="42">
        <f t="shared" si="1"/>
        <v>-569925</v>
      </c>
      <c r="Y10" s="42">
        <f t="shared" si="2"/>
        <v>131597.61748362504</v>
      </c>
      <c r="Z10" s="42">
        <f t="shared" si="3"/>
        <v>448937.59518767573</v>
      </c>
      <c r="AA10" s="37"/>
      <c r="AB10" s="40">
        <v>4</v>
      </c>
      <c r="AC10" s="41">
        <v>2</v>
      </c>
      <c r="AD10" s="41">
        <v>0</v>
      </c>
      <c r="AE10" s="41">
        <v>0</v>
      </c>
      <c r="AF10" s="41">
        <v>-1</v>
      </c>
      <c r="AG10" s="42">
        <v>173237</v>
      </c>
      <c r="AH10" s="42">
        <f t="shared" si="4"/>
        <v>173237</v>
      </c>
      <c r="AI10" s="42">
        <f t="shared" si="5"/>
        <v>118335.61571192954</v>
      </c>
    </row>
    <row r="11" spans="2:35">
      <c r="B11" s="27" t="s">
        <v>13</v>
      </c>
      <c r="C11" s="28" t="s">
        <v>74</v>
      </c>
      <c r="M11" s="15" t="s">
        <v>32</v>
      </c>
      <c r="N11" s="47">
        <f>MOD(53.09+479264.29*$C$10,360)</f>
        <v>312.89998247775657</v>
      </c>
      <c r="P11" s="40">
        <v>5</v>
      </c>
      <c r="Q11" s="41">
        <v>0</v>
      </c>
      <c r="R11" s="41">
        <v>1</v>
      </c>
      <c r="S11" s="41">
        <v>0</v>
      </c>
      <c r="T11" s="41">
        <v>0</v>
      </c>
      <c r="U11" s="42">
        <v>-185116</v>
      </c>
      <c r="V11" s="42">
        <v>48888</v>
      </c>
      <c r="W11" s="42">
        <f t="shared" si="0"/>
        <v>-185002.31457790514</v>
      </c>
      <c r="X11" s="42">
        <f t="shared" si="1"/>
        <v>48857.976377431594</v>
      </c>
      <c r="Y11" s="42">
        <f t="shared" si="2"/>
        <v>-123208.89530655865</v>
      </c>
      <c r="Z11" s="42">
        <f t="shared" si="3"/>
        <v>-36446.3164746002</v>
      </c>
      <c r="AA11" s="37"/>
      <c r="AB11" s="40">
        <v>5</v>
      </c>
      <c r="AC11" s="41">
        <v>2</v>
      </c>
      <c r="AD11" s="41">
        <v>0</v>
      </c>
      <c r="AE11" s="41">
        <v>-1</v>
      </c>
      <c r="AF11" s="41">
        <v>1</v>
      </c>
      <c r="AG11" s="42">
        <v>55413</v>
      </c>
      <c r="AH11" s="42">
        <f t="shared" si="4"/>
        <v>55413</v>
      </c>
      <c r="AI11" s="42">
        <f t="shared" si="5"/>
        <v>-6719.5402164201696</v>
      </c>
    </row>
    <row r="12" spans="2:35">
      <c r="B12" s="29" t="s">
        <v>15</v>
      </c>
      <c r="C12" s="30">
        <f>VLOOKUP(C11,$B$16:$D$20,2,FALSE)</f>
        <v>46.5</v>
      </c>
      <c r="M12" s="15" t="s">
        <v>33</v>
      </c>
      <c r="N12" s="47">
        <f>MOD(313.45+481266.484*$C$10,360)</f>
        <v>341.62538551677426</v>
      </c>
      <c r="P12" s="40">
        <v>6</v>
      </c>
      <c r="Q12" s="41">
        <v>0</v>
      </c>
      <c r="R12" s="41">
        <v>0</v>
      </c>
      <c r="S12" s="41">
        <v>0</v>
      </c>
      <c r="T12" s="41">
        <v>2</v>
      </c>
      <c r="U12" s="42">
        <v>-114332</v>
      </c>
      <c r="V12" s="42">
        <v>-3149</v>
      </c>
      <c r="W12" s="42">
        <f t="shared" si="0"/>
        <v>-114332</v>
      </c>
      <c r="X12" s="42">
        <f t="shared" si="1"/>
        <v>-3149</v>
      </c>
      <c r="Y12" s="42">
        <f t="shared" si="2"/>
        <v>-109273.98545664769</v>
      </c>
      <c r="Z12" s="42">
        <f t="shared" si="3"/>
        <v>926.26789014026667</v>
      </c>
      <c r="AA12" s="37"/>
      <c r="AB12" s="40">
        <v>6</v>
      </c>
      <c r="AC12" s="41">
        <v>2</v>
      </c>
      <c r="AD12" s="41">
        <v>0</v>
      </c>
      <c r="AE12" s="41">
        <v>-1</v>
      </c>
      <c r="AF12" s="41">
        <v>-1</v>
      </c>
      <c r="AG12" s="42">
        <v>46271</v>
      </c>
      <c r="AH12" s="42">
        <f t="shared" si="4"/>
        <v>46271</v>
      </c>
      <c r="AI12" s="42">
        <f t="shared" si="5"/>
        <v>-42247.186512367043</v>
      </c>
    </row>
    <row r="13" spans="2:35">
      <c r="B13" s="23" t="s">
        <v>16</v>
      </c>
      <c r="C13" s="30">
        <f>VLOOKUP(C11,$B$16:$D$20,3,FALSE)</f>
        <v>7.7</v>
      </c>
      <c r="M13" s="15" t="s">
        <v>8</v>
      </c>
      <c r="N13" s="17">
        <f>1-0.002516*$C$10-0.0000074*POWER($C$10,2)</f>
        <v>0.99938586928145134</v>
      </c>
      <c r="P13" s="40">
        <v>7</v>
      </c>
      <c r="Q13" s="41">
        <v>2</v>
      </c>
      <c r="R13" s="41">
        <v>0</v>
      </c>
      <c r="S13" s="41">
        <v>-2</v>
      </c>
      <c r="T13" s="41">
        <v>0</v>
      </c>
      <c r="U13" s="42">
        <v>58793</v>
      </c>
      <c r="V13" s="42">
        <v>246158</v>
      </c>
      <c r="W13" s="42">
        <f t="shared" si="0"/>
        <v>58793</v>
      </c>
      <c r="X13" s="42">
        <f t="shared" si="1"/>
        <v>246158</v>
      </c>
      <c r="Y13" s="42">
        <f t="shared" si="2"/>
        <v>-44030.394927201021</v>
      </c>
      <c r="Z13" s="42">
        <f t="shared" si="3"/>
        <v>-163123.22676783829</v>
      </c>
      <c r="AA13" s="37"/>
      <c r="AB13" s="40">
        <v>7</v>
      </c>
      <c r="AC13" s="41">
        <v>2</v>
      </c>
      <c r="AD13" s="41">
        <v>0</v>
      </c>
      <c r="AE13" s="41">
        <v>0</v>
      </c>
      <c r="AF13" s="41">
        <v>1</v>
      </c>
      <c r="AG13" s="42">
        <v>32573</v>
      </c>
      <c r="AH13" s="42">
        <f t="shared" si="4"/>
        <v>32573</v>
      </c>
      <c r="AI13" s="42">
        <f t="shared" si="5"/>
        <v>-29281.694364981977</v>
      </c>
    </row>
    <row r="14" spans="2:35" ht="19">
      <c r="M14" s="15" t="s">
        <v>36</v>
      </c>
      <c r="N14" s="17">
        <f>POWER(N13,2)</f>
        <v>0.99877211571944213</v>
      </c>
      <c r="P14" s="40">
        <v>8</v>
      </c>
      <c r="Q14" s="41">
        <v>2</v>
      </c>
      <c r="R14" s="41">
        <v>-1</v>
      </c>
      <c r="S14" s="41">
        <v>-1</v>
      </c>
      <c r="T14" s="41">
        <v>0</v>
      </c>
      <c r="U14" s="42">
        <v>57066</v>
      </c>
      <c r="V14" s="42">
        <v>-152138</v>
      </c>
      <c r="W14" s="42">
        <f t="shared" si="0"/>
        <v>57030.9540164153</v>
      </c>
      <c r="X14" s="42">
        <f t="shared" si="1"/>
        <v>-152044.56738074144</v>
      </c>
      <c r="Y14" s="42">
        <f t="shared" si="2"/>
        <v>-18341.604409168929</v>
      </c>
      <c r="Z14" s="42">
        <f t="shared" si="3"/>
        <v>-143966.88691498063</v>
      </c>
      <c r="AA14" s="37"/>
      <c r="AB14" s="40">
        <v>8</v>
      </c>
      <c r="AC14" s="41">
        <v>0</v>
      </c>
      <c r="AD14" s="41">
        <v>0</v>
      </c>
      <c r="AE14" s="41">
        <v>2</v>
      </c>
      <c r="AF14" s="41">
        <v>1</v>
      </c>
      <c r="AG14" s="42">
        <v>17198</v>
      </c>
      <c r="AH14" s="42">
        <f t="shared" si="4"/>
        <v>17198</v>
      </c>
      <c r="AI14" s="42">
        <f t="shared" si="5"/>
        <v>4603.3493541775088</v>
      </c>
    </row>
    <row r="15" spans="2:35">
      <c r="P15" s="40">
        <v>9</v>
      </c>
      <c r="Q15" s="41">
        <v>2</v>
      </c>
      <c r="R15" s="41">
        <v>0</v>
      </c>
      <c r="S15" s="41">
        <v>1</v>
      </c>
      <c r="T15" s="41">
        <v>0</v>
      </c>
      <c r="U15" s="42">
        <v>53322</v>
      </c>
      <c r="V15" s="42">
        <v>-170733</v>
      </c>
      <c r="W15" s="42">
        <f t="shared" si="0"/>
        <v>53322</v>
      </c>
      <c r="X15" s="42">
        <f t="shared" si="1"/>
        <v>-170733</v>
      </c>
      <c r="Y15" s="42">
        <f t="shared" si="2"/>
        <v>-52729.981458513335</v>
      </c>
      <c r="Z15" s="42">
        <f t="shared" si="3"/>
        <v>25371.02941869168</v>
      </c>
      <c r="AA15" s="37"/>
      <c r="AB15" s="40">
        <v>9</v>
      </c>
      <c r="AC15" s="41">
        <v>2</v>
      </c>
      <c r="AD15" s="41">
        <v>0</v>
      </c>
      <c r="AE15" s="41">
        <v>1</v>
      </c>
      <c r="AF15" s="41">
        <v>-1</v>
      </c>
      <c r="AG15" s="42">
        <v>9266</v>
      </c>
      <c r="AH15" s="42">
        <f t="shared" si="4"/>
        <v>9266</v>
      </c>
      <c r="AI15" s="42">
        <f t="shared" si="5"/>
        <v>4335.9767476292145</v>
      </c>
    </row>
    <row r="16" spans="2:35">
      <c r="B16" s="74" t="s">
        <v>17</v>
      </c>
      <c r="C16" s="74"/>
      <c r="D16" s="74"/>
      <c r="M16" s="15" t="s">
        <v>48</v>
      </c>
      <c r="N16" s="17">
        <f>SUM(Y7:Y66)</f>
        <v>-4929114.590038171</v>
      </c>
      <c r="P16" s="40">
        <v>10</v>
      </c>
      <c r="Q16" s="41">
        <v>2</v>
      </c>
      <c r="R16" s="41">
        <v>-1</v>
      </c>
      <c r="S16" s="41">
        <v>0</v>
      </c>
      <c r="T16" s="41">
        <v>0</v>
      </c>
      <c r="U16" s="42">
        <v>45758</v>
      </c>
      <c r="V16" s="42">
        <v>-204586</v>
      </c>
      <c r="W16" s="42">
        <f t="shared" si="0"/>
        <v>45729.898606580653</v>
      </c>
      <c r="X16" s="42">
        <f t="shared" si="1"/>
        <v>-204460.35745281499</v>
      </c>
      <c r="Y16" s="42">
        <f t="shared" si="2"/>
        <v>-36146.413885246868</v>
      </c>
      <c r="Z16" s="42">
        <f t="shared" si="3"/>
        <v>125241.92727787523</v>
      </c>
      <c r="AA16" s="37"/>
      <c r="AB16" s="40">
        <v>10</v>
      </c>
      <c r="AC16" s="41">
        <v>0</v>
      </c>
      <c r="AD16" s="41">
        <v>0</v>
      </c>
      <c r="AE16" s="41">
        <v>2</v>
      </c>
      <c r="AF16" s="41">
        <v>-1</v>
      </c>
      <c r="AG16" s="42">
        <v>8822</v>
      </c>
      <c r="AH16" s="42">
        <f t="shared" si="4"/>
        <v>8822</v>
      </c>
      <c r="AI16" s="42">
        <f t="shared" si="5"/>
        <v>-8818.6422875224907</v>
      </c>
    </row>
    <row r="17" spans="2:35">
      <c r="B17" s="23" t="s">
        <v>18</v>
      </c>
      <c r="C17" s="31" t="s">
        <v>19</v>
      </c>
      <c r="D17" s="24" t="s">
        <v>20</v>
      </c>
      <c r="M17" s="15" t="s">
        <v>47</v>
      </c>
      <c r="N17" s="17">
        <f>3958*SIN($N$4*N10)+1962*SIN($N$4*(N5-N9))+318*SIN($N$4*N11)</f>
        <v>2081.3804402691289</v>
      </c>
      <c r="P17" s="40">
        <v>11</v>
      </c>
      <c r="Q17" s="41">
        <v>0</v>
      </c>
      <c r="R17" s="41">
        <v>1</v>
      </c>
      <c r="S17" s="41">
        <v>-1</v>
      </c>
      <c r="T17" s="41">
        <v>0</v>
      </c>
      <c r="U17" s="42">
        <v>-40923</v>
      </c>
      <c r="V17" s="42">
        <v>-129620</v>
      </c>
      <c r="W17" s="42">
        <f t="shared" si="0"/>
        <v>-40897.867928604835</v>
      </c>
      <c r="X17" s="42">
        <f t="shared" si="1"/>
        <v>-129540.39637626172</v>
      </c>
      <c r="Y17" s="42">
        <f t="shared" si="2"/>
        <v>37717.665229108905</v>
      </c>
      <c r="Z17" s="42">
        <f t="shared" si="3"/>
        <v>50082.515771385588</v>
      </c>
      <c r="AA17" s="37"/>
      <c r="AB17" s="40">
        <v>11</v>
      </c>
      <c r="AC17" s="41">
        <v>2</v>
      </c>
      <c r="AD17" s="41">
        <v>-1</v>
      </c>
      <c r="AE17" s="41">
        <v>0</v>
      </c>
      <c r="AF17" s="41">
        <v>-1</v>
      </c>
      <c r="AG17" s="42">
        <v>8216</v>
      </c>
      <c r="AH17" s="42">
        <f t="shared" si="4"/>
        <v>8210.9543020164037</v>
      </c>
      <c r="AI17" s="42">
        <f t="shared" si="5"/>
        <v>-190.18272979392307</v>
      </c>
    </row>
    <row r="18" spans="2:35">
      <c r="B18" s="32" t="s">
        <v>14</v>
      </c>
      <c r="C18" s="33">
        <v>37</v>
      </c>
      <c r="D18" s="33">
        <v>23.72</v>
      </c>
      <c r="M18" s="15" t="s">
        <v>49</v>
      </c>
      <c r="N18" s="17">
        <f>SUM(N16:N17)</f>
        <v>-4927033.2095979024</v>
      </c>
      <c r="P18" s="40">
        <v>12</v>
      </c>
      <c r="Q18" s="41">
        <v>1</v>
      </c>
      <c r="R18" s="41">
        <v>0</v>
      </c>
      <c r="S18" s="41">
        <v>0</v>
      </c>
      <c r="T18" s="41">
        <v>0</v>
      </c>
      <c r="U18" s="42">
        <v>-34720</v>
      </c>
      <c r="V18" s="42">
        <v>108743</v>
      </c>
      <c r="W18" s="42">
        <f t="shared" si="0"/>
        <v>-34720</v>
      </c>
      <c r="X18" s="42">
        <f t="shared" si="1"/>
        <v>108743</v>
      </c>
      <c r="Y18" s="42">
        <f t="shared" si="2"/>
        <v>3167.2781313900459</v>
      </c>
      <c r="Z18" s="42">
        <f t="shared" si="3"/>
        <v>-108289.5904768968</v>
      </c>
      <c r="AA18" s="37"/>
      <c r="AB18" s="40">
        <v>12</v>
      </c>
      <c r="AC18" s="41">
        <v>2</v>
      </c>
      <c r="AD18" s="41">
        <v>0</v>
      </c>
      <c r="AE18" s="41">
        <v>-2</v>
      </c>
      <c r="AF18" s="41">
        <v>-1</v>
      </c>
      <c r="AG18" s="42">
        <v>4324</v>
      </c>
      <c r="AH18" s="42">
        <f t="shared" si="4"/>
        <v>4324</v>
      </c>
      <c r="AI18" s="42">
        <f t="shared" si="5"/>
        <v>-381.18708122562651</v>
      </c>
    </row>
    <row r="19" spans="2:35">
      <c r="B19" s="32" t="s">
        <v>74</v>
      </c>
      <c r="C19" s="33">
        <v>46.5</v>
      </c>
      <c r="D19" s="33">
        <v>7.7</v>
      </c>
      <c r="P19" s="40">
        <v>13</v>
      </c>
      <c r="Q19" s="41">
        <v>0</v>
      </c>
      <c r="R19" s="41">
        <v>1</v>
      </c>
      <c r="S19" s="41">
        <v>1</v>
      </c>
      <c r="T19" s="41">
        <v>0</v>
      </c>
      <c r="U19" s="42">
        <v>-30383</v>
      </c>
      <c r="V19" s="42">
        <v>104755</v>
      </c>
      <c r="W19" s="42">
        <f t="shared" si="0"/>
        <v>-30364.340866378338</v>
      </c>
      <c r="X19" s="42">
        <f t="shared" si="1"/>
        <v>104690.66673657844</v>
      </c>
      <c r="Y19" s="42">
        <f t="shared" si="2"/>
        <v>-14826.572023417166</v>
      </c>
      <c r="Z19" s="42">
        <f t="shared" si="3"/>
        <v>91361.662304100231</v>
      </c>
      <c r="AA19" s="37"/>
      <c r="AB19" s="40">
        <v>13</v>
      </c>
      <c r="AC19" s="41">
        <v>2</v>
      </c>
      <c r="AD19" s="41">
        <v>0</v>
      </c>
      <c r="AE19" s="41">
        <v>1</v>
      </c>
      <c r="AF19" s="41">
        <v>1</v>
      </c>
      <c r="AG19" s="42">
        <v>4200</v>
      </c>
      <c r="AH19" s="42">
        <f t="shared" si="4"/>
        <v>4200</v>
      </c>
      <c r="AI19" s="42">
        <f t="shared" si="5"/>
        <v>2969.4675468001942</v>
      </c>
    </row>
    <row r="20" spans="2:35">
      <c r="B20" s="32"/>
      <c r="C20" s="33"/>
      <c r="D20" s="33"/>
      <c r="M20" s="15" t="s">
        <v>50</v>
      </c>
      <c r="N20" s="17">
        <f>SUM(AI7:AI66)</f>
        <v>-3765411.58149873</v>
      </c>
      <c r="P20" s="40">
        <v>14</v>
      </c>
      <c r="Q20" s="41">
        <v>2</v>
      </c>
      <c r="R20" s="41">
        <v>0</v>
      </c>
      <c r="S20" s="41">
        <v>0</v>
      </c>
      <c r="T20" s="41">
        <v>-2</v>
      </c>
      <c r="U20" s="42">
        <v>15327</v>
      </c>
      <c r="V20" s="42">
        <v>10321</v>
      </c>
      <c r="W20" s="42">
        <f t="shared" si="0"/>
        <v>15327</v>
      </c>
      <c r="X20" s="42">
        <f t="shared" si="1"/>
        <v>10321</v>
      </c>
      <c r="Y20" s="42">
        <f t="shared" si="2"/>
        <v>-15224.240748069251</v>
      </c>
      <c r="Z20" s="42">
        <f t="shared" si="3"/>
        <v>-1193.1348028019002</v>
      </c>
      <c r="AA20" s="37"/>
      <c r="AB20" s="40">
        <v>14</v>
      </c>
      <c r="AC20" s="41">
        <v>2</v>
      </c>
      <c r="AD20" s="41">
        <v>1</v>
      </c>
      <c r="AE20" s="41">
        <v>0</v>
      </c>
      <c r="AF20" s="41">
        <v>-1</v>
      </c>
      <c r="AG20" s="42">
        <v>-3359</v>
      </c>
      <c r="AH20" s="42">
        <f t="shared" si="4"/>
        <v>-3356.9371349163953</v>
      </c>
      <c r="AI20" s="42">
        <f t="shared" si="5"/>
        <v>3343.3497007942829</v>
      </c>
    </row>
    <row r="21" spans="2:35">
      <c r="B21" s="32"/>
      <c r="C21" s="33"/>
      <c r="D21" s="33"/>
      <c r="M21" s="15" t="s">
        <v>51</v>
      </c>
      <c r="N21" s="17">
        <f>-2235*SIN($N$4*N5)+382*SIN($N$4*N12)+175*SIN($N$4*(N10-N9))+175*SIN($N$4*(N10+N9))+127*SIN($N$4*(N5-N8))-115*SIN($N$4*(N5+N8))</f>
        <v>1750.0281522824971</v>
      </c>
      <c r="P21" s="40">
        <v>15</v>
      </c>
      <c r="Q21" s="41">
        <v>0</v>
      </c>
      <c r="R21" s="41">
        <v>0</v>
      </c>
      <c r="S21" s="41">
        <v>1</v>
      </c>
      <c r="T21" s="41">
        <v>2</v>
      </c>
      <c r="U21" s="42">
        <v>-12528</v>
      </c>
      <c r="V21" s="42">
        <v>0</v>
      </c>
      <c r="W21" s="42">
        <f t="shared" si="0"/>
        <v>-12528</v>
      </c>
      <c r="X21" s="42">
        <f t="shared" si="1"/>
        <v>0</v>
      </c>
      <c r="Y21" s="42">
        <f t="shared" si="2"/>
        <v>416.99696421804117</v>
      </c>
      <c r="Z21" s="42">
        <f t="shared" si="3"/>
        <v>0</v>
      </c>
      <c r="AA21" s="37"/>
      <c r="AB21" s="40">
        <v>15</v>
      </c>
      <c r="AC21" s="41">
        <v>2</v>
      </c>
      <c r="AD21" s="41">
        <v>-1</v>
      </c>
      <c r="AE21" s="41">
        <v>-1</v>
      </c>
      <c r="AF21" s="41">
        <v>1</v>
      </c>
      <c r="AG21" s="42">
        <v>2463</v>
      </c>
      <c r="AH21" s="42">
        <f t="shared" si="4"/>
        <v>2461.4873960402147</v>
      </c>
      <c r="AI21" s="42">
        <f t="shared" si="5"/>
        <v>-1404.5571954378327</v>
      </c>
    </row>
    <row r="22" spans="2:35">
      <c r="B22" s="32"/>
      <c r="C22" s="33"/>
      <c r="D22" s="33"/>
      <c r="M22" s="15" t="s">
        <v>49</v>
      </c>
      <c r="N22" s="17">
        <f>SUM(N20:N21)</f>
        <v>-3763661.5533464476</v>
      </c>
      <c r="P22" s="40">
        <v>16</v>
      </c>
      <c r="Q22" s="41">
        <v>0</v>
      </c>
      <c r="R22" s="41">
        <v>0</v>
      </c>
      <c r="S22" s="41">
        <v>1</v>
      </c>
      <c r="T22" s="41">
        <v>-2</v>
      </c>
      <c r="U22" s="42">
        <v>10980</v>
      </c>
      <c r="V22" s="42">
        <v>79661</v>
      </c>
      <c r="W22" s="42">
        <f t="shared" si="0"/>
        <v>10980</v>
      </c>
      <c r="X22" s="42">
        <f t="shared" si="1"/>
        <v>79661</v>
      </c>
      <c r="Y22" s="42">
        <f t="shared" si="2"/>
        <v>6472.5041259082745</v>
      </c>
      <c r="Z22" s="42">
        <f t="shared" si="3"/>
        <v>-64348.726649267737</v>
      </c>
      <c r="AA22" s="37"/>
      <c r="AB22" s="40">
        <v>16</v>
      </c>
      <c r="AC22" s="41">
        <v>2</v>
      </c>
      <c r="AD22" s="41">
        <v>-1</v>
      </c>
      <c r="AE22" s="41">
        <v>0</v>
      </c>
      <c r="AF22" s="41">
        <v>1</v>
      </c>
      <c r="AG22" s="42">
        <v>2211</v>
      </c>
      <c r="AH22" s="42">
        <f t="shared" si="4"/>
        <v>2209.6421569812887</v>
      </c>
      <c r="AI22" s="42">
        <f t="shared" si="5"/>
        <v>2126.3760537688718</v>
      </c>
    </row>
    <row r="23" spans="2:35">
      <c r="N23" s="17"/>
      <c r="P23" s="40">
        <v>17</v>
      </c>
      <c r="Q23" s="41">
        <v>4</v>
      </c>
      <c r="R23" s="41">
        <v>0</v>
      </c>
      <c r="S23" s="41">
        <v>-1</v>
      </c>
      <c r="T23" s="41">
        <v>0</v>
      </c>
      <c r="U23" s="42">
        <v>10675</v>
      </c>
      <c r="V23" s="42">
        <v>-34782</v>
      </c>
      <c r="W23" s="42">
        <f t="shared" si="0"/>
        <v>10675</v>
      </c>
      <c r="X23" s="42">
        <f t="shared" si="1"/>
        <v>-34782</v>
      </c>
      <c r="Y23" s="42">
        <f t="shared" si="2"/>
        <v>8183.5321100357132</v>
      </c>
      <c r="Z23" s="42">
        <f t="shared" si="3"/>
        <v>22334.089749776376</v>
      </c>
      <c r="AA23" s="37"/>
      <c r="AB23" s="40">
        <v>17</v>
      </c>
      <c r="AC23" s="41">
        <v>2</v>
      </c>
      <c r="AD23" s="41">
        <v>-1</v>
      </c>
      <c r="AE23" s="41">
        <v>-1</v>
      </c>
      <c r="AF23" s="41">
        <v>-1</v>
      </c>
      <c r="AG23" s="42">
        <v>2065</v>
      </c>
      <c r="AH23" s="42">
        <f t="shared" si="4"/>
        <v>2063.7318200661971</v>
      </c>
      <c r="AI23" s="42">
        <f t="shared" si="5"/>
        <v>1966.1842664627213</v>
      </c>
    </row>
    <row r="24" spans="2:35">
      <c r="B24" s="52" t="s">
        <v>66</v>
      </c>
      <c r="C24" s="53">
        <f>MOD(100.46+0.985647*$C$9+$C$13+15*(HOUR($C$4)+(MINUTE($C$4)/60)),360)</f>
        <v>69.289123000000473</v>
      </c>
      <c r="M24" s="15" t="s">
        <v>52</v>
      </c>
      <c r="N24" s="17">
        <f>N5+(N18/1000000)</f>
        <v>241.90556543530747</v>
      </c>
      <c r="P24" s="40">
        <v>18</v>
      </c>
      <c r="Q24" s="41">
        <v>0</v>
      </c>
      <c r="R24" s="41">
        <v>0</v>
      </c>
      <c r="S24" s="41">
        <v>3</v>
      </c>
      <c r="T24" s="41">
        <v>0</v>
      </c>
      <c r="U24" s="42">
        <v>10034</v>
      </c>
      <c r="V24" s="42">
        <v>-23210</v>
      </c>
      <c r="W24" s="42">
        <f t="shared" si="0"/>
        <v>10034</v>
      </c>
      <c r="X24" s="42">
        <f t="shared" si="1"/>
        <v>-23210</v>
      </c>
      <c r="Y24" s="42">
        <f t="shared" si="2"/>
        <v>5458.8132074231198</v>
      </c>
      <c r="Z24" s="42">
        <f t="shared" si="3"/>
        <v>-19474.69214328942</v>
      </c>
      <c r="AA24" s="37"/>
      <c r="AB24" s="40">
        <v>18</v>
      </c>
      <c r="AC24" s="41">
        <v>0</v>
      </c>
      <c r="AD24" s="41">
        <v>1</v>
      </c>
      <c r="AE24" s="41">
        <v>-1</v>
      </c>
      <c r="AF24" s="41">
        <v>-1</v>
      </c>
      <c r="AG24" s="42">
        <v>-1870</v>
      </c>
      <c r="AH24" s="42">
        <f t="shared" si="4"/>
        <v>-1868.8515755563139</v>
      </c>
      <c r="AI24" s="42">
        <f t="shared" si="5"/>
        <v>-442.699371413319</v>
      </c>
    </row>
    <row r="25" spans="2:35">
      <c r="B25" s="54"/>
      <c r="C25" s="55">
        <f>TIME(INT(C24/15),60*((C24-15*INT(C24/15))/15),0)</f>
        <v>0.19236111111111112</v>
      </c>
      <c r="M25" s="15" t="s">
        <v>53</v>
      </c>
      <c r="N25" s="17">
        <f>N22/1000000</f>
        <v>-3.7636615533464477</v>
      </c>
      <c r="P25" s="40">
        <v>19</v>
      </c>
      <c r="Q25" s="41">
        <v>4</v>
      </c>
      <c r="R25" s="41">
        <v>0</v>
      </c>
      <c r="S25" s="41">
        <v>-2</v>
      </c>
      <c r="T25" s="41">
        <v>0</v>
      </c>
      <c r="U25" s="42">
        <v>8548</v>
      </c>
      <c r="V25" s="42">
        <v>-21636</v>
      </c>
      <c r="W25" s="42">
        <f t="shared" si="0"/>
        <v>8548</v>
      </c>
      <c r="X25" s="42">
        <f t="shared" si="1"/>
        <v>-21636</v>
      </c>
      <c r="Y25" s="42">
        <f t="shared" si="2"/>
        <v>-7324.270657379232</v>
      </c>
      <c r="Z25" s="42">
        <f t="shared" si="3"/>
        <v>11155.131041719596</v>
      </c>
      <c r="AA25" s="37"/>
      <c r="AB25" s="40">
        <v>19</v>
      </c>
      <c r="AC25" s="41">
        <v>4</v>
      </c>
      <c r="AD25" s="41">
        <v>0</v>
      </c>
      <c r="AE25" s="41">
        <v>-1</v>
      </c>
      <c r="AF25" s="41">
        <v>-1</v>
      </c>
      <c r="AG25" s="42">
        <v>1828</v>
      </c>
      <c r="AH25" s="42">
        <f t="shared" si="4"/>
        <v>1828</v>
      </c>
      <c r="AI25" s="42">
        <f t="shared" si="5"/>
        <v>-1776.7193624097642</v>
      </c>
    </row>
    <row r="26" spans="2:35">
      <c r="B26" s="54" t="s">
        <v>64</v>
      </c>
      <c r="C26" s="56">
        <f>C24-N41</f>
        <v>190.30743617414726</v>
      </c>
      <c r="M26" s="15" t="s">
        <v>54</v>
      </c>
      <c r="N26" s="17">
        <f>385000.56+SUM(Z7:Z66)/1000</f>
        <v>390934.39501657389</v>
      </c>
      <c r="P26" s="40">
        <v>20</v>
      </c>
      <c r="Q26" s="41">
        <v>2</v>
      </c>
      <c r="R26" s="41">
        <v>1</v>
      </c>
      <c r="S26" s="41">
        <v>-1</v>
      </c>
      <c r="T26" s="41">
        <v>0</v>
      </c>
      <c r="U26" s="42">
        <v>-7888</v>
      </c>
      <c r="V26" s="42">
        <v>24208</v>
      </c>
      <c r="W26" s="42">
        <f t="shared" si="0"/>
        <v>-7883.1557368920885</v>
      </c>
      <c r="X26" s="42">
        <f t="shared" si="1"/>
        <v>24193.133123565374</v>
      </c>
      <c r="Y26" s="42">
        <f t="shared" si="2"/>
        <v>7702.9002092189367</v>
      </c>
      <c r="Z26" s="42">
        <f t="shared" si="3"/>
        <v>-5144.0409823122372</v>
      </c>
      <c r="AA26" s="37"/>
      <c r="AB26" s="40">
        <v>20</v>
      </c>
      <c r="AC26" s="41">
        <v>0</v>
      </c>
      <c r="AD26" s="41">
        <v>1</v>
      </c>
      <c r="AE26" s="41">
        <v>0</v>
      </c>
      <c r="AF26" s="41">
        <v>1</v>
      </c>
      <c r="AG26" s="42">
        <v>-1794</v>
      </c>
      <c r="AH26" s="42">
        <f t="shared" si="4"/>
        <v>-1792.8982494909237</v>
      </c>
      <c r="AI26" s="42">
        <f t="shared" si="5"/>
        <v>-366.49352148094073</v>
      </c>
    </row>
    <row r="27" spans="2:35">
      <c r="B27" s="54"/>
      <c r="C27" s="57"/>
      <c r="M27" s="15" t="s">
        <v>55</v>
      </c>
      <c r="N27" s="15">
        <f>ASIN(6378.14/N26)/$N$4</f>
        <v>0.93482876433144546</v>
      </c>
      <c r="P27" s="40">
        <v>21</v>
      </c>
      <c r="Q27" s="41">
        <v>2</v>
      </c>
      <c r="R27" s="41">
        <v>1</v>
      </c>
      <c r="S27" s="41">
        <v>0</v>
      </c>
      <c r="T27" s="41">
        <v>0</v>
      </c>
      <c r="U27" s="42">
        <v>-6766</v>
      </c>
      <c r="V27" s="42">
        <v>30824</v>
      </c>
      <c r="W27" s="42">
        <f t="shared" si="0"/>
        <v>-6761.8447915583001</v>
      </c>
      <c r="X27" s="42">
        <f t="shared" si="1"/>
        <v>30805.070034731456</v>
      </c>
      <c r="Y27" s="42">
        <f t="shared" si="2"/>
        <v>-3511.8991110604697</v>
      </c>
      <c r="Z27" s="42">
        <f t="shared" si="3"/>
        <v>-26324.456991779109</v>
      </c>
      <c r="AA27" s="37"/>
      <c r="AB27" s="40">
        <v>21</v>
      </c>
      <c r="AC27" s="41">
        <v>0</v>
      </c>
      <c r="AD27" s="41">
        <v>0</v>
      </c>
      <c r="AE27" s="41">
        <v>0</v>
      </c>
      <c r="AF27" s="41">
        <v>3</v>
      </c>
      <c r="AG27" s="42">
        <v>-1749</v>
      </c>
      <c r="AH27" s="42">
        <f t="shared" si="4"/>
        <v>-1749</v>
      </c>
      <c r="AI27" s="42">
        <f t="shared" si="5"/>
        <v>579.23452177301681</v>
      </c>
    </row>
    <row r="28" spans="2:35">
      <c r="B28" s="54" t="s">
        <v>67</v>
      </c>
      <c r="C28" s="59">
        <f>ASIN(SIN($N$4*N43)*SIN($N$4*$C$12)+COS($N$4*N43)*COS($N$4*$C$12)*COS($N$4*C26))/$N$4</f>
        <v>-66.240632759194369</v>
      </c>
      <c r="E28" s="61" t="s">
        <v>77</v>
      </c>
      <c r="F28" s="61"/>
      <c r="P28" s="40">
        <v>22</v>
      </c>
      <c r="Q28" s="41">
        <v>1</v>
      </c>
      <c r="R28" s="41">
        <v>0</v>
      </c>
      <c r="S28" s="41">
        <v>-1</v>
      </c>
      <c r="T28" s="41">
        <v>0</v>
      </c>
      <c r="U28" s="42">
        <v>-5163</v>
      </c>
      <c r="V28" s="42">
        <v>-8379</v>
      </c>
      <c r="W28" s="42">
        <f t="shared" si="0"/>
        <v>-5163</v>
      </c>
      <c r="X28" s="42">
        <f t="shared" si="1"/>
        <v>-8379</v>
      </c>
      <c r="Y28" s="42">
        <f t="shared" si="2"/>
        <v>4707.5079503132683</v>
      </c>
      <c r="Z28" s="42">
        <f t="shared" si="3"/>
        <v>-3441.1231651459784</v>
      </c>
      <c r="AA28" s="37"/>
      <c r="AB28" s="40">
        <v>22</v>
      </c>
      <c r="AC28" s="41">
        <v>0</v>
      </c>
      <c r="AD28" s="41">
        <v>1</v>
      </c>
      <c r="AE28" s="41">
        <v>-1</v>
      </c>
      <c r="AF28" s="41">
        <v>1</v>
      </c>
      <c r="AG28" s="42">
        <v>-1565</v>
      </c>
      <c r="AH28" s="42">
        <f t="shared" si="4"/>
        <v>-1564.0388854254713</v>
      </c>
      <c r="AI28" s="42">
        <f t="shared" si="5"/>
        <v>-1343.3204853343359</v>
      </c>
    </row>
    <row r="29" spans="2:35" ht="18">
      <c r="B29" s="58" t="s">
        <v>68</v>
      </c>
      <c r="C29" s="60">
        <f>IF(SIN($N$4*C26)&gt;0,360-ACOS((SIN($N$4*N43)-SIN($N$4*C28)*SIN($N$4*$C$12))/(COS($N$4*C28)*COS($N$4*$C$12)))/$N$4,ACOS((SIN($N$4*N43)-SIN($N$4*C28)*SIN($N$4*$C$12))/(COS($N$4*C28)*COS($N$4*$C$12)))/$N$4)</f>
        <v>23.891181241412195</v>
      </c>
      <c r="E29" s="62" t="s">
        <v>78</v>
      </c>
      <c r="F29" s="63">
        <f>N46</f>
        <v>0.99995600615755165</v>
      </c>
      <c r="M29" s="50" t="s">
        <v>73</v>
      </c>
      <c r="N29" s="17">
        <f>(84381.448-46.815*$C$10-0.00059*POWER($C$10,2)+0.001813*POWER($C$10,3))/3600</f>
        <v>23.436119195709669</v>
      </c>
      <c r="P29" s="40">
        <v>23</v>
      </c>
      <c r="Q29" s="41">
        <v>1</v>
      </c>
      <c r="R29" s="41">
        <v>1</v>
      </c>
      <c r="S29" s="41">
        <v>0</v>
      </c>
      <c r="T29" s="41">
        <v>0</v>
      </c>
      <c r="U29" s="42">
        <v>4987</v>
      </c>
      <c r="V29" s="42">
        <v>-16675</v>
      </c>
      <c r="W29" s="42">
        <f t="shared" si="0"/>
        <v>4983.937330106598</v>
      </c>
      <c r="X29" s="42">
        <f t="shared" si="1"/>
        <v>-16664.759370268202</v>
      </c>
      <c r="Y29" s="42">
        <f t="shared" si="2"/>
        <v>-2966.237049577664</v>
      </c>
      <c r="Z29" s="42">
        <f t="shared" si="3"/>
        <v>-13391.928713440955</v>
      </c>
      <c r="AA29" s="37"/>
      <c r="AB29" s="40">
        <v>23</v>
      </c>
      <c r="AC29" s="41">
        <v>1</v>
      </c>
      <c r="AD29" s="41">
        <v>0</v>
      </c>
      <c r="AE29" s="41">
        <v>0</v>
      </c>
      <c r="AF29" s="41">
        <v>1</v>
      </c>
      <c r="AG29" s="42">
        <v>-1491</v>
      </c>
      <c r="AH29" s="42">
        <f t="shared" si="4"/>
        <v>-1491</v>
      </c>
      <c r="AI29" s="42">
        <f t="shared" si="5"/>
        <v>-1275.1752978578954</v>
      </c>
    </row>
    <row r="30" spans="2:35">
      <c r="M30" s="49" t="s">
        <v>56</v>
      </c>
      <c r="N30" s="17">
        <f>MOD(125.04452-1934.136261*$C$10,360)</f>
        <v>13.279428987022584</v>
      </c>
      <c r="P30" s="40">
        <v>24</v>
      </c>
      <c r="Q30" s="41">
        <v>2</v>
      </c>
      <c r="R30" s="41">
        <v>-1</v>
      </c>
      <c r="S30" s="41">
        <v>1</v>
      </c>
      <c r="T30" s="41">
        <v>0</v>
      </c>
      <c r="U30" s="42">
        <v>4036</v>
      </c>
      <c r="V30" s="42">
        <v>-12831</v>
      </c>
      <c r="W30" s="42">
        <f t="shared" si="0"/>
        <v>4033.5213684199375</v>
      </c>
      <c r="X30" s="42">
        <f t="shared" si="1"/>
        <v>-12823.120088750302</v>
      </c>
      <c r="Y30" s="42">
        <f t="shared" si="2"/>
        <v>3374.6382814333319</v>
      </c>
      <c r="Z30" s="42">
        <f t="shared" si="3"/>
        <v>7023.744318215794</v>
      </c>
      <c r="AA30" s="37"/>
      <c r="AB30" s="40">
        <v>24</v>
      </c>
      <c r="AC30" s="41">
        <v>0</v>
      </c>
      <c r="AD30" s="41">
        <v>1</v>
      </c>
      <c r="AE30" s="41">
        <v>1</v>
      </c>
      <c r="AF30" s="41">
        <v>1</v>
      </c>
      <c r="AG30" s="42">
        <v>-1475</v>
      </c>
      <c r="AH30" s="42">
        <f t="shared" si="4"/>
        <v>-1474.0941571901408</v>
      </c>
      <c r="AI30" s="42">
        <f t="shared" si="5"/>
        <v>1462.4103296183905</v>
      </c>
    </row>
    <row r="31" spans="2:35">
      <c r="M31" s="49" t="s">
        <v>57</v>
      </c>
      <c r="N31" s="17">
        <f>MOD(280.4665+36000.7698*$C$10,360)</f>
        <v>61.59882438603745</v>
      </c>
      <c r="P31" s="40">
        <v>25</v>
      </c>
      <c r="Q31" s="41">
        <v>2</v>
      </c>
      <c r="R31" s="41">
        <v>0</v>
      </c>
      <c r="S31" s="41">
        <v>2</v>
      </c>
      <c r="T31" s="41">
        <v>0</v>
      </c>
      <c r="U31" s="42">
        <v>3994</v>
      </c>
      <c r="V31" s="42">
        <v>-10445</v>
      </c>
      <c r="W31" s="42">
        <f t="shared" si="0"/>
        <v>3994</v>
      </c>
      <c r="X31" s="42">
        <f t="shared" si="1"/>
        <v>-10445</v>
      </c>
      <c r="Y31" s="42">
        <f t="shared" si="2"/>
        <v>1847.9123802100182</v>
      </c>
      <c r="Z31" s="42">
        <f t="shared" si="3"/>
        <v>9259.8004539730791</v>
      </c>
      <c r="AA31" s="37"/>
      <c r="AB31" s="40">
        <v>25</v>
      </c>
      <c r="AC31" s="41">
        <v>0</v>
      </c>
      <c r="AD31" s="41">
        <v>1</v>
      </c>
      <c r="AE31" s="41">
        <v>1</v>
      </c>
      <c r="AF31" s="41">
        <v>-1</v>
      </c>
      <c r="AG31" s="42">
        <v>-1410</v>
      </c>
      <c r="AH31" s="42">
        <f t="shared" si="4"/>
        <v>-1409.1340756868465</v>
      </c>
      <c r="AI31" s="42">
        <f t="shared" si="5"/>
        <v>-580.43938029877961</v>
      </c>
    </row>
    <row r="32" spans="2:35">
      <c r="M32" s="49" t="s">
        <v>58</v>
      </c>
      <c r="N32" s="17">
        <f>MOD(218.3165+481267.8813*$C$10,360)</f>
        <v>246.8327081232128</v>
      </c>
      <c r="P32" s="40">
        <v>26</v>
      </c>
      <c r="Q32" s="41">
        <v>4</v>
      </c>
      <c r="R32" s="41">
        <v>0</v>
      </c>
      <c r="S32" s="41">
        <v>0</v>
      </c>
      <c r="T32" s="41">
        <v>0</v>
      </c>
      <c r="U32" s="42">
        <v>3861</v>
      </c>
      <c r="V32" s="42">
        <v>-11650</v>
      </c>
      <c r="W32" s="42">
        <f t="shared" si="0"/>
        <v>3861</v>
      </c>
      <c r="X32" s="42">
        <f t="shared" si="1"/>
        <v>-11650</v>
      </c>
      <c r="Y32" s="42">
        <f t="shared" si="2"/>
        <v>1379.6302280518894</v>
      </c>
      <c r="Z32" s="42">
        <f t="shared" si="3"/>
        <v>-10880.870115637974</v>
      </c>
      <c r="AA32" s="37"/>
      <c r="AB32" s="40">
        <v>26</v>
      </c>
      <c r="AC32" s="41">
        <v>0</v>
      </c>
      <c r="AD32" s="41">
        <v>1</v>
      </c>
      <c r="AE32" s="41">
        <v>0</v>
      </c>
      <c r="AF32" s="41">
        <v>-1</v>
      </c>
      <c r="AG32" s="42">
        <v>-1344</v>
      </c>
      <c r="AH32" s="42">
        <f t="shared" si="4"/>
        <v>-1343.1746083142707</v>
      </c>
      <c r="AI32" s="42">
        <f t="shared" si="5"/>
        <v>1337.4079017506783</v>
      </c>
    </row>
    <row r="33" spans="13:35">
      <c r="M33" s="49"/>
      <c r="N33" s="17"/>
      <c r="P33" s="40">
        <v>27</v>
      </c>
      <c r="Q33" s="41">
        <v>2</v>
      </c>
      <c r="R33" s="41">
        <v>0</v>
      </c>
      <c r="S33" s="41">
        <v>-3</v>
      </c>
      <c r="T33" s="41">
        <v>0</v>
      </c>
      <c r="U33" s="42">
        <v>3665</v>
      </c>
      <c r="V33" s="42">
        <v>14403</v>
      </c>
      <c r="W33" s="42">
        <f t="shared" si="0"/>
        <v>3665</v>
      </c>
      <c r="X33" s="42">
        <f t="shared" si="1"/>
        <v>14403</v>
      </c>
      <c r="Y33" s="42">
        <f t="shared" si="2"/>
        <v>-1401.9746442100172</v>
      </c>
      <c r="Z33" s="42">
        <f t="shared" si="3"/>
        <v>13307.548486608508</v>
      </c>
      <c r="AA33" s="37"/>
      <c r="AB33" s="40">
        <v>27</v>
      </c>
      <c r="AC33" s="41">
        <v>1</v>
      </c>
      <c r="AD33" s="41">
        <v>0</v>
      </c>
      <c r="AE33" s="41">
        <v>0</v>
      </c>
      <c r="AF33" s="41">
        <v>-1</v>
      </c>
      <c r="AG33" s="42">
        <v>-1335</v>
      </c>
      <c r="AH33" s="42">
        <f t="shared" si="4"/>
        <v>-1335</v>
      </c>
      <c r="AI33" s="42">
        <f t="shared" si="5"/>
        <v>997.05940328696465</v>
      </c>
    </row>
    <row r="34" spans="13:35">
      <c r="M34" s="15" t="s">
        <v>60</v>
      </c>
      <c r="N34" s="17">
        <f>(-17.2*SIN($N$4*N30)-1.32*SIN($N$4*2*N31)-0.23*SIN($N$4*2*N32)+0.21*SIN($N$4*2*N30))/3600</f>
        <v>-1.4244132874170132E-3</v>
      </c>
      <c r="P34" s="40">
        <v>28</v>
      </c>
      <c r="Q34" s="41">
        <v>0</v>
      </c>
      <c r="R34" s="41">
        <v>1</v>
      </c>
      <c r="S34" s="41">
        <v>-2</v>
      </c>
      <c r="T34" s="41">
        <v>0</v>
      </c>
      <c r="U34" s="42">
        <v>-2689</v>
      </c>
      <c r="V34" s="42">
        <v>-7003</v>
      </c>
      <c r="W34" s="42">
        <f t="shared" si="0"/>
        <v>-2687.3486024978229</v>
      </c>
      <c r="X34" s="42">
        <f t="shared" si="1"/>
        <v>-6998.6992425780036</v>
      </c>
      <c r="Y34" s="42">
        <f t="shared" si="2"/>
        <v>174.84045273121671</v>
      </c>
      <c r="Z34" s="42">
        <f t="shared" si="3"/>
        <v>-6983.871211871673</v>
      </c>
      <c r="AA34" s="37"/>
      <c r="AB34" s="40">
        <v>28</v>
      </c>
      <c r="AC34" s="41">
        <v>0</v>
      </c>
      <c r="AD34" s="41">
        <v>0</v>
      </c>
      <c r="AE34" s="41">
        <v>3</v>
      </c>
      <c r="AF34" s="41">
        <v>1</v>
      </c>
      <c r="AG34" s="42">
        <v>1107</v>
      </c>
      <c r="AH34" s="42">
        <f t="shared" si="4"/>
        <v>1107</v>
      </c>
      <c r="AI34" s="42">
        <f t="shared" si="5"/>
        <v>-1104.9489990997297</v>
      </c>
    </row>
    <row r="35" spans="13:35">
      <c r="M35" s="15" t="s">
        <v>59</v>
      </c>
      <c r="N35" s="17">
        <f>(9.2*COS($N$4*N30)+0.57*COS($N$4*2*N31)+0.1*COS($N$4*2*N32)-0.09*COS($N$4*2*N30))/3600</f>
        <v>2.3589905767478882E-3</v>
      </c>
      <c r="P35" s="40">
        <v>29</v>
      </c>
      <c r="Q35" s="41">
        <v>2</v>
      </c>
      <c r="R35" s="41">
        <v>0</v>
      </c>
      <c r="S35" s="41">
        <v>-1</v>
      </c>
      <c r="T35" s="41">
        <v>2</v>
      </c>
      <c r="U35" s="42">
        <v>-2602</v>
      </c>
      <c r="V35" s="42">
        <v>0</v>
      </c>
      <c r="W35" s="42">
        <f t="shared" si="0"/>
        <v>-2602</v>
      </c>
      <c r="X35" s="42">
        <f t="shared" si="1"/>
        <v>0</v>
      </c>
      <c r="Y35" s="42">
        <f t="shared" si="2"/>
        <v>1890.1789001895752</v>
      </c>
      <c r="Z35" s="42">
        <f t="shared" si="3"/>
        <v>0</v>
      </c>
      <c r="AA35" s="37"/>
      <c r="AB35" s="40">
        <v>29</v>
      </c>
      <c r="AC35" s="41">
        <v>4</v>
      </c>
      <c r="AD35" s="41">
        <v>0</v>
      </c>
      <c r="AE35" s="41">
        <v>0</v>
      </c>
      <c r="AF35" s="41">
        <v>-1</v>
      </c>
      <c r="AG35" s="42">
        <v>1021</v>
      </c>
      <c r="AH35" s="42">
        <f t="shared" si="4"/>
        <v>1021</v>
      </c>
      <c r="AI35" s="42">
        <f t="shared" si="5"/>
        <v>550.34327044588281</v>
      </c>
    </row>
    <row r="36" spans="13:35">
      <c r="M36" s="49"/>
      <c r="N36" s="17"/>
      <c r="P36" s="40">
        <v>30</v>
      </c>
      <c r="Q36" s="41">
        <v>2</v>
      </c>
      <c r="R36" s="41">
        <v>-1</v>
      </c>
      <c r="S36" s="41">
        <v>-2</v>
      </c>
      <c r="T36" s="41">
        <v>0</v>
      </c>
      <c r="U36" s="42">
        <v>2390</v>
      </c>
      <c r="V36" s="42">
        <v>10056</v>
      </c>
      <c r="W36" s="42">
        <f t="shared" si="0"/>
        <v>2388.5322275826688</v>
      </c>
      <c r="X36" s="42">
        <f t="shared" si="1"/>
        <v>10049.824301494275</v>
      </c>
      <c r="Y36" s="42">
        <f t="shared" si="2"/>
        <v>2388.508823834547</v>
      </c>
      <c r="Z36" s="42">
        <f t="shared" si="3"/>
        <v>-44.4886838867805</v>
      </c>
      <c r="AA36" s="37"/>
      <c r="AB36" s="40">
        <v>30</v>
      </c>
      <c r="AC36" s="41">
        <v>4</v>
      </c>
      <c r="AD36" s="41">
        <v>0</v>
      </c>
      <c r="AE36" s="41">
        <v>-1</v>
      </c>
      <c r="AF36" s="41">
        <v>1</v>
      </c>
      <c r="AG36" s="42">
        <v>833</v>
      </c>
      <c r="AH36" s="42">
        <f t="shared" si="4"/>
        <v>833</v>
      </c>
      <c r="AI36" s="42">
        <f t="shared" si="5"/>
        <v>50.896929273001057</v>
      </c>
    </row>
    <row r="37" spans="13:35" ht="18">
      <c r="M37" s="15" t="s">
        <v>70</v>
      </c>
      <c r="N37" s="17">
        <f>N24+N34</f>
        <v>241.90414102202004</v>
      </c>
      <c r="P37" s="40">
        <v>31</v>
      </c>
      <c r="Q37" s="41">
        <v>1</v>
      </c>
      <c r="R37" s="41">
        <v>0</v>
      </c>
      <c r="S37" s="41">
        <v>1</v>
      </c>
      <c r="T37" s="41">
        <v>0</v>
      </c>
      <c r="U37" s="42">
        <v>-2348</v>
      </c>
      <c r="V37" s="42">
        <v>6322</v>
      </c>
      <c r="W37" s="42">
        <f t="shared" si="0"/>
        <v>-2348</v>
      </c>
      <c r="X37" s="42">
        <f t="shared" si="1"/>
        <v>6322</v>
      </c>
      <c r="Y37" s="42">
        <f t="shared" si="2"/>
        <v>-2280.4202727761194</v>
      </c>
      <c r="Z37" s="42">
        <f t="shared" si="3"/>
        <v>1505.8475605653048</v>
      </c>
      <c r="AA37" s="37"/>
      <c r="AB37" s="40">
        <v>31</v>
      </c>
      <c r="AC37" s="41">
        <v>0</v>
      </c>
      <c r="AD37" s="41">
        <v>0</v>
      </c>
      <c r="AE37" s="41">
        <v>1</v>
      </c>
      <c r="AF37" s="41">
        <v>-3</v>
      </c>
      <c r="AG37" s="42">
        <v>777</v>
      </c>
      <c r="AH37" s="42">
        <f t="shared" si="4"/>
        <v>777</v>
      </c>
      <c r="AI37" s="42">
        <f t="shared" si="5"/>
        <v>-776.98737600567165</v>
      </c>
    </row>
    <row r="38" spans="13:35" ht="18">
      <c r="M38" s="15" t="s">
        <v>71</v>
      </c>
      <c r="N38" s="17">
        <f>N25+N35</f>
        <v>-3.7613025627696999</v>
      </c>
      <c r="P38" s="40">
        <v>32</v>
      </c>
      <c r="Q38" s="41">
        <v>2</v>
      </c>
      <c r="R38" s="41">
        <v>-2</v>
      </c>
      <c r="S38" s="41">
        <v>0</v>
      </c>
      <c r="T38" s="41">
        <v>0</v>
      </c>
      <c r="U38" s="42">
        <v>2236</v>
      </c>
      <c r="V38" s="42">
        <v>-9884</v>
      </c>
      <c r="W38" s="42">
        <f t="shared" si="0"/>
        <v>2233.2544507486728</v>
      </c>
      <c r="X38" s="42">
        <f t="shared" si="1"/>
        <v>-9871.8635917709653</v>
      </c>
      <c r="Y38" s="42">
        <f t="shared" si="2"/>
        <v>2227.8578530635364</v>
      </c>
      <c r="Z38" s="42">
        <f t="shared" si="3"/>
        <v>685.87115259311054</v>
      </c>
      <c r="AA38" s="37"/>
      <c r="AB38" s="40">
        <v>32</v>
      </c>
      <c r="AC38" s="41">
        <v>4</v>
      </c>
      <c r="AD38" s="41">
        <v>0</v>
      </c>
      <c r="AE38" s="41">
        <v>-2</v>
      </c>
      <c r="AF38" s="41">
        <v>1</v>
      </c>
      <c r="AG38" s="42">
        <v>671</v>
      </c>
      <c r="AH38" s="42">
        <f t="shared" si="4"/>
        <v>671</v>
      </c>
      <c r="AI38" s="42">
        <f t="shared" si="5"/>
        <v>619.84772844217878</v>
      </c>
    </row>
    <row r="39" spans="13:35" ht="18">
      <c r="M39" s="50" t="s">
        <v>72</v>
      </c>
      <c r="N39" s="17">
        <f>N29+N35</f>
        <v>23.438478186286417</v>
      </c>
      <c r="P39" s="40">
        <v>33</v>
      </c>
      <c r="Q39" s="41">
        <v>0</v>
      </c>
      <c r="R39" s="41">
        <v>1</v>
      </c>
      <c r="S39" s="41">
        <v>2</v>
      </c>
      <c r="T39" s="41">
        <v>0</v>
      </c>
      <c r="U39" s="42">
        <v>-2120</v>
      </c>
      <c r="V39" s="42">
        <v>5751</v>
      </c>
      <c r="W39" s="42">
        <f t="shared" ref="W39:W66" si="6">IF(ABS($R39)=1,U39*$N$13,IF(ABS($R39)=2,U39*$N$14,U39))</f>
        <v>-2118.6980428766769</v>
      </c>
      <c r="X39" s="42">
        <f t="shared" ref="X39:X66" si="7">IF(ABS($R39)=1,V39*$N$13,IF(ABS($R39)=2,V39*$N$14,V39))</f>
        <v>5747.4681342376271</v>
      </c>
      <c r="Y39" s="42">
        <f t="shared" ref="Y39:Y66" si="8">W39*SIN($N$4*($Q39*$N$6+$R39*$N$7+$S39*$N$8+$T39*$N$9))</f>
        <v>2085.1192640293621</v>
      </c>
      <c r="Z39" s="42">
        <f t="shared" ref="Z39:Z66" si="9">X39*COS($N$4*($Q39*$N$6+$R39*$N$7+$S39*$N$8+$T39*$N$9))</f>
        <v>1019.2057676977407</v>
      </c>
      <c r="AA39" s="37"/>
      <c r="AB39" s="40">
        <v>33</v>
      </c>
      <c r="AC39" s="41">
        <v>2</v>
      </c>
      <c r="AD39" s="41">
        <v>0</v>
      </c>
      <c r="AE39" s="41">
        <v>0</v>
      </c>
      <c r="AF39" s="41">
        <v>-3</v>
      </c>
      <c r="AG39" s="42">
        <v>607</v>
      </c>
      <c r="AH39" s="42">
        <f t="shared" ref="AH39:AH66" si="10">IF(ABS(AD39)=1,AG39*$N$13,IF(ABS(AD39)=2,AG39*$N$14,AG39))</f>
        <v>607</v>
      </c>
      <c r="AI39" s="42">
        <f t="shared" ref="AI39:AI66" si="11">AH39*SIN($N$4*(AC39*$N$6+AD39*$N$7+AE39*$N$8+AF39*$N$9))</f>
        <v>301.7406613046864</v>
      </c>
    </row>
    <row r="40" spans="13:35">
      <c r="P40" s="40">
        <v>34</v>
      </c>
      <c r="Q40" s="41">
        <v>0</v>
      </c>
      <c r="R40" s="41">
        <v>2</v>
      </c>
      <c r="S40" s="41">
        <v>0</v>
      </c>
      <c r="T40" s="41">
        <v>0</v>
      </c>
      <c r="U40" s="42">
        <v>-2069</v>
      </c>
      <c r="V40" s="42">
        <v>0</v>
      </c>
      <c r="W40" s="42">
        <f t="shared" si="6"/>
        <v>-2066.4595074235258</v>
      </c>
      <c r="X40" s="42">
        <f t="shared" si="7"/>
        <v>0</v>
      </c>
      <c r="Y40" s="42">
        <f t="shared" si="8"/>
        <v>2053.2411701260385</v>
      </c>
      <c r="Z40" s="42">
        <f t="shared" si="9"/>
        <v>0</v>
      </c>
      <c r="AA40" s="37"/>
      <c r="AB40" s="40">
        <v>34</v>
      </c>
      <c r="AC40" s="41">
        <v>2</v>
      </c>
      <c r="AD40" s="41">
        <v>0</v>
      </c>
      <c r="AE40" s="41">
        <v>2</v>
      </c>
      <c r="AF40" s="41">
        <v>-1</v>
      </c>
      <c r="AG40" s="42">
        <v>596</v>
      </c>
      <c r="AH40" s="42">
        <f t="shared" si="10"/>
        <v>596</v>
      </c>
      <c r="AI40" s="42">
        <f t="shared" si="11"/>
        <v>-588.84475474250542</v>
      </c>
    </row>
    <row r="41" spans="13:35">
      <c r="M41" s="50" t="s">
        <v>61</v>
      </c>
      <c r="N41" s="17">
        <f>ATAN2(COS($N$4*N37),SIN($N$4*N37)*COS($N$4*N39)-TAN($N$4*N38)*SIN($N$4*N39))/$N$4</f>
        <v>-121.0183131741468</v>
      </c>
      <c r="P41" s="40">
        <v>35</v>
      </c>
      <c r="Q41" s="41">
        <v>2</v>
      </c>
      <c r="R41" s="41">
        <v>-2</v>
      </c>
      <c r="S41" s="41">
        <v>-1</v>
      </c>
      <c r="T41" s="41">
        <v>0</v>
      </c>
      <c r="U41" s="42">
        <v>2048</v>
      </c>
      <c r="V41" s="42">
        <v>-4950</v>
      </c>
      <c r="W41" s="42">
        <f t="shared" si="6"/>
        <v>2045.4852929934175</v>
      </c>
      <c r="X41" s="42">
        <f t="shared" si="7"/>
        <v>-4943.9219728112384</v>
      </c>
      <c r="Y41" s="42">
        <f t="shared" si="8"/>
        <v>-799.16244838929424</v>
      </c>
      <c r="Z41" s="42">
        <f t="shared" si="9"/>
        <v>4550.9783726412234</v>
      </c>
      <c r="AA41" s="37"/>
      <c r="AB41" s="40">
        <v>35</v>
      </c>
      <c r="AC41" s="41">
        <v>2</v>
      </c>
      <c r="AD41" s="41">
        <v>-1</v>
      </c>
      <c r="AE41" s="41">
        <v>1</v>
      </c>
      <c r="AF41" s="41">
        <v>-1</v>
      </c>
      <c r="AG41" s="42">
        <v>491</v>
      </c>
      <c r="AH41" s="42">
        <f t="shared" si="10"/>
        <v>490.69846181719259</v>
      </c>
      <c r="AI41" s="42">
        <f t="shared" si="11"/>
        <v>-460.09860783800548</v>
      </c>
    </row>
    <row r="42" spans="13:35">
      <c r="N42" s="17">
        <f>N41/15</f>
        <v>-8.0678875449431207</v>
      </c>
      <c r="O42" s="15" t="s">
        <v>63</v>
      </c>
      <c r="P42" s="40">
        <v>36</v>
      </c>
      <c r="Q42" s="41">
        <v>2</v>
      </c>
      <c r="R42" s="41">
        <v>0</v>
      </c>
      <c r="S42" s="41">
        <v>1</v>
      </c>
      <c r="T42" s="41">
        <v>-2</v>
      </c>
      <c r="U42" s="42">
        <v>-1773</v>
      </c>
      <c r="V42" s="42">
        <v>4130</v>
      </c>
      <c r="W42" s="42">
        <f t="shared" si="6"/>
        <v>-1773</v>
      </c>
      <c r="X42" s="42">
        <f t="shared" si="7"/>
        <v>4130</v>
      </c>
      <c r="Y42" s="42">
        <f t="shared" si="8"/>
        <v>-767.54486327821735</v>
      </c>
      <c r="Z42" s="42">
        <f t="shared" si="9"/>
        <v>-3722.9405301354614</v>
      </c>
      <c r="AA42" s="37"/>
      <c r="AB42" s="40">
        <v>36</v>
      </c>
      <c r="AC42" s="41">
        <v>2</v>
      </c>
      <c r="AD42" s="41">
        <v>0</v>
      </c>
      <c r="AE42" s="41">
        <v>-2</v>
      </c>
      <c r="AF42" s="41">
        <v>1</v>
      </c>
      <c r="AG42" s="42">
        <v>-451</v>
      </c>
      <c r="AH42" s="42">
        <f t="shared" si="10"/>
        <v>-451</v>
      </c>
      <c r="AI42" s="42">
        <f t="shared" si="11"/>
        <v>-441.06448380827766</v>
      </c>
    </row>
    <row r="43" spans="13:35">
      <c r="M43" s="50" t="s">
        <v>62</v>
      </c>
      <c r="N43" s="17">
        <f>ASIN(SIN($N$4*N38)*COS($N$4*N39)+COS($N$4*N38)*SIN($N$4*N39)*SIN($N$4*N37))/$N$4</f>
        <v>-24.225146897432786</v>
      </c>
      <c r="P43" s="40">
        <v>37</v>
      </c>
      <c r="Q43" s="41">
        <v>2</v>
      </c>
      <c r="R43" s="41">
        <v>0</v>
      </c>
      <c r="S43" s="41">
        <v>0</v>
      </c>
      <c r="T43" s="41">
        <v>2</v>
      </c>
      <c r="U43" s="42">
        <v>-1595</v>
      </c>
      <c r="V43" s="42">
        <v>0</v>
      </c>
      <c r="W43" s="42">
        <f t="shared" si="6"/>
        <v>-1595</v>
      </c>
      <c r="X43" s="42">
        <f t="shared" si="7"/>
        <v>0</v>
      </c>
      <c r="Y43" s="42">
        <f t="shared" si="8"/>
        <v>-1413.825178963735</v>
      </c>
      <c r="Z43" s="42">
        <f t="shared" si="9"/>
        <v>0</v>
      </c>
      <c r="AA43" s="37"/>
      <c r="AB43" s="40">
        <v>37</v>
      </c>
      <c r="AC43" s="41">
        <v>0</v>
      </c>
      <c r="AD43" s="41">
        <v>0</v>
      </c>
      <c r="AE43" s="41">
        <v>3</v>
      </c>
      <c r="AF43" s="41">
        <v>-1</v>
      </c>
      <c r="AG43" s="42">
        <v>439</v>
      </c>
      <c r="AH43" s="42">
        <f t="shared" si="10"/>
        <v>439</v>
      </c>
      <c r="AI43" s="42">
        <f t="shared" si="11"/>
        <v>154.42029508632851</v>
      </c>
    </row>
    <row r="44" spans="13:35">
      <c r="P44" s="40">
        <v>38</v>
      </c>
      <c r="Q44" s="41">
        <v>4</v>
      </c>
      <c r="R44" s="41">
        <v>-1</v>
      </c>
      <c r="S44" s="41">
        <v>-1</v>
      </c>
      <c r="T44" s="41">
        <v>0</v>
      </c>
      <c r="U44" s="42">
        <v>1215</v>
      </c>
      <c r="V44" s="42">
        <v>-3958</v>
      </c>
      <c r="W44" s="42">
        <f t="shared" si="6"/>
        <v>1214.2538311769633</v>
      </c>
      <c r="X44" s="42">
        <f t="shared" si="7"/>
        <v>-3955.5692706159844</v>
      </c>
      <c r="Y44" s="42">
        <f t="shared" si="8"/>
        <v>-175.12150899169981</v>
      </c>
      <c r="Z44" s="42">
        <f t="shared" si="9"/>
        <v>-3914.2154965556942</v>
      </c>
      <c r="AA44" s="37"/>
      <c r="AB44" s="40">
        <v>38</v>
      </c>
      <c r="AC44" s="41">
        <v>2</v>
      </c>
      <c r="AD44" s="41">
        <v>0</v>
      </c>
      <c r="AE44" s="41">
        <v>2</v>
      </c>
      <c r="AF44" s="41">
        <v>1</v>
      </c>
      <c r="AG44" s="42">
        <v>422</v>
      </c>
      <c r="AH44" s="42">
        <f t="shared" si="10"/>
        <v>422</v>
      </c>
      <c r="AI44" s="42">
        <f t="shared" si="11"/>
        <v>184.94972237792882</v>
      </c>
    </row>
    <row r="45" spans="13:35">
      <c r="M45" s="15" t="s">
        <v>75</v>
      </c>
      <c r="N45" s="15">
        <f>180-N6-6.289*SIN($N$4*N8)+2.1*SIN($N$4*N7)-1.274*SIN($N$4*(2*N6-N8))-0.658*SIN($N$4*2*N6)-0.214*SIN($N$4*2*N8)-0.11*SIN($N$4*N6)</f>
        <v>0.76006679525445753</v>
      </c>
      <c r="P45" s="40">
        <v>39</v>
      </c>
      <c r="Q45" s="41">
        <v>0</v>
      </c>
      <c r="R45" s="41">
        <v>0</v>
      </c>
      <c r="S45" s="41">
        <v>2</v>
      </c>
      <c r="T45" s="41">
        <v>2</v>
      </c>
      <c r="U45" s="42">
        <v>-1110</v>
      </c>
      <c r="V45" s="42">
        <v>0</v>
      </c>
      <c r="W45" s="42">
        <f t="shared" si="6"/>
        <v>-1110</v>
      </c>
      <c r="X45" s="42">
        <f t="shared" si="7"/>
        <v>0</v>
      </c>
      <c r="Y45" s="42">
        <f t="shared" si="8"/>
        <v>1036.8198055432763</v>
      </c>
      <c r="Z45" s="42">
        <f t="shared" si="9"/>
        <v>0</v>
      </c>
      <c r="AA45" s="37"/>
      <c r="AB45" s="40">
        <v>39</v>
      </c>
      <c r="AC45" s="41">
        <v>2</v>
      </c>
      <c r="AD45" s="41">
        <v>0</v>
      </c>
      <c r="AE45" s="41">
        <v>-3</v>
      </c>
      <c r="AF45" s="41">
        <v>-1</v>
      </c>
      <c r="AG45" s="42">
        <v>421</v>
      </c>
      <c r="AH45" s="42">
        <f t="shared" si="10"/>
        <v>421</v>
      </c>
      <c r="AI45" s="42">
        <f t="shared" si="11"/>
        <v>408.57208067631296</v>
      </c>
    </row>
    <row r="46" spans="13:35">
      <c r="M46" s="15" t="s">
        <v>76</v>
      </c>
      <c r="N46" s="15">
        <f>(1+COS($N$4*N45))/2</f>
        <v>0.99995600615755165</v>
      </c>
      <c r="P46" s="40">
        <v>40</v>
      </c>
      <c r="Q46" s="41">
        <v>3</v>
      </c>
      <c r="R46" s="41">
        <v>0</v>
      </c>
      <c r="S46" s="41">
        <v>-1</v>
      </c>
      <c r="T46" s="41">
        <v>0</v>
      </c>
      <c r="U46" s="42">
        <v>-892</v>
      </c>
      <c r="V46" s="42">
        <v>3258</v>
      </c>
      <c r="W46" s="42">
        <f t="shared" si="6"/>
        <v>-892</v>
      </c>
      <c r="X46" s="42">
        <f t="shared" si="7"/>
        <v>3258</v>
      </c>
      <c r="Y46" s="42">
        <f t="shared" si="8"/>
        <v>733.21229698751551</v>
      </c>
      <c r="Z46" s="42">
        <f t="shared" si="9"/>
        <v>1855.4519353412475</v>
      </c>
      <c r="AA46" s="37"/>
      <c r="AB46" s="40">
        <v>40</v>
      </c>
      <c r="AC46" s="41">
        <v>2</v>
      </c>
      <c r="AD46" s="41">
        <v>1</v>
      </c>
      <c r="AE46" s="41">
        <v>-1</v>
      </c>
      <c r="AF46" s="41">
        <v>1</v>
      </c>
      <c r="AG46" s="42">
        <v>-366</v>
      </c>
      <c r="AH46" s="42">
        <f t="shared" si="10"/>
        <v>-365.77522815701121</v>
      </c>
      <c r="AI46" s="42">
        <f t="shared" si="11"/>
        <v>-274.89062374509575</v>
      </c>
    </row>
    <row r="47" spans="13:35">
      <c r="P47" s="40">
        <v>41</v>
      </c>
      <c r="Q47" s="41">
        <v>2</v>
      </c>
      <c r="R47" s="41">
        <v>1</v>
      </c>
      <c r="S47" s="41">
        <v>1</v>
      </c>
      <c r="T47" s="41">
        <v>0</v>
      </c>
      <c r="U47" s="42">
        <v>-810</v>
      </c>
      <c r="V47" s="42">
        <v>2616</v>
      </c>
      <c r="W47" s="42">
        <f t="shared" si="6"/>
        <v>-809.50255411797559</v>
      </c>
      <c r="X47" s="42">
        <f t="shared" si="7"/>
        <v>2614.3934340402766</v>
      </c>
      <c r="Y47" s="42">
        <f t="shared" si="8"/>
        <v>-517.04255675540378</v>
      </c>
      <c r="Z47" s="42">
        <f t="shared" si="9"/>
        <v>2011.6247406535549</v>
      </c>
      <c r="AA47" s="37"/>
      <c r="AB47" s="40">
        <v>41</v>
      </c>
      <c r="AC47" s="41">
        <v>2</v>
      </c>
      <c r="AD47" s="41">
        <v>1</v>
      </c>
      <c r="AE47" s="41">
        <v>0</v>
      </c>
      <c r="AF47" s="41">
        <v>1</v>
      </c>
      <c r="AG47" s="42">
        <v>-351</v>
      </c>
      <c r="AH47" s="42">
        <f t="shared" si="10"/>
        <v>-350.78444011778942</v>
      </c>
      <c r="AI47" s="42">
        <f t="shared" si="11"/>
        <v>-132.89876981333498</v>
      </c>
    </row>
    <row r="48" spans="13:35">
      <c r="P48" s="40">
        <v>42</v>
      </c>
      <c r="Q48" s="41">
        <v>4</v>
      </c>
      <c r="R48" s="41">
        <v>-1</v>
      </c>
      <c r="S48" s="41">
        <v>-2</v>
      </c>
      <c r="T48" s="41">
        <v>0</v>
      </c>
      <c r="U48" s="42">
        <v>759</v>
      </c>
      <c r="V48" s="42">
        <v>-1897</v>
      </c>
      <c r="W48" s="42">
        <f t="shared" si="6"/>
        <v>758.53387478462162</v>
      </c>
      <c r="X48" s="42">
        <f t="shared" si="7"/>
        <v>-1895.8349940269131</v>
      </c>
      <c r="Y48" s="42">
        <f t="shared" si="8"/>
        <v>745.29187512517933</v>
      </c>
      <c r="Z48" s="42">
        <f t="shared" si="9"/>
        <v>352.69645915744462</v>
      </c>
      <c r="AA48" s="37"/>
      <c r="AB48" s="40">
        <v>42</v>
      </c>
      <c r="AC48" s="41">
        <v>4</v>
      </c>
      <c r="AD48" s="41">
        <v>0</v>
      </c>
      <c r="AE48" s="41">
        <v>0</v>
      </c>
      <c r="AF48" s="41">
        <v>1</v>
      </c>
      <c r="AG48" s="42">
        <v>331</v>
      </c>
      <c r="AH48" s="42">
        <f t="shared" si="10"/>
        <v>331</v>
      </c>
      <c r="AI48" s="42">
        <f t="shared" si="11"/>
        <v>-318.94495153036041</v>
      </c>
    </row>
    <row r="49" spans="16:35">
      <c r="P49" s="40">
        <v>43</v>
      </c>
      <c r="Q49" s="41">
        <v>0</v>
      </c>
      <c r="R49" s="41">
        <v>2</v>
      </c>
      <c r="S49" s="41">
        <v>-1</v>
      </c>
      <c r="T49" s="41">
        <v>0</v>
      </c>
      <c r="U49" s="42">
        <v>-713</v>
      </c>
      <c r="V49" s="42">
        <v>-2117</v>
      </c>
      <c r="W49" s="42">
        <f t="shared" si="6"/>
        <v>-712.12451850796219</v>
      </c>
      <c r="X49" s="42">
        <f t="shared" si="7"/>
        <v>-2114.4005689780588</v>
      </c>
      <c r="Y49" s="42">
        <f t="shared" si="8"/>
        <v>-306.55338350436</v>
      </c>
      <c r="Z49" s="42">
        <f t="shared" si="9"/>
        <v>-1908.461001794793</v>
      </c>
      <c r="AA49" s="37"/>
      <c r="AB49" s="40">
        <v>43</v>
      </c>
      <c r="AC49" s="41">
        <v>2</v>
      </c>
      <c r="AD49" s="41">
        <v>-1</v>
      </c>
      <c r="AE49" s="41">
        <v>1</v>
      </c>
      <c r="AF49" s="41">
        <v>1</v>
      </c>
      <c r="AG49" s="42">
        <v>315</v>
      </c>
      <c r="AH49" s="42">
        <f t="shared" si="10"/>
        <v>314.80654882365718</v>
      </c>
      <c r="AI49" s="42">
        <f t="shared" si="11"/>
        <v>-17.763119515512258</v>
      </c>
    </row>
    <row r="50" spans="16:35">
      <c r="P50" s="40">
        <v>44</v>
      </c>
      <c r="Q50" s="41">
        <v>2</v>
      </c>
      <c r="R50" s="41">
        <v>2</v>
      </c>
      <c r="S50" s="41">
        <v>-1</v>
      </c>
      <c r="T50" s="41">
        <v>0</v>
      </c>
      <c r="U50" s="42">
        <v>-700</v>
      </c>
      <c r="V50" s="42">
        <v>2354</v>
      </c>
      <c r="W50" s="42">
        <f t="shared" si="6"/>
        <v>-699.14048100360947</v>
      </c>
      <c r="X50" s="42">
        <f t="shared" si="7"/>
        <v>2351.1095604035668</v>
      </c>
      <c r="Y50" s="42">
        <f t="shared" si="8"/>
        <v>-410.60716538119647</v>
      </c>
      <c r="Z50" s="42">
        <f t="shared" si="9"/>
        <v>1902.9111813204624</v>
      </c>
      <c r="AA50" s="37"/>
      <c r="AB50" s="40">
        <v>44</v>
      </c>
      <c r="AC50" s="41">
        <v>2</v>
      </c>
      <c r="AD50" s="41">
        <v>-2</v>
      </c>
      <c r="AE50" s="41">
        <v>0</v>
      </c>
      <c r="AF50" s="41">
        <v>-1</v>
      </c>
      <c r="AG50" s="42">
        <v>302</v>
      </c>
      <c r="AH50" s="42">
        <f t="shared" si="10"/>
        <v>301.6291789472715</v>
      </c>
      <c r="AI50" s="42">
        <f t="shared" si="11"/>
        <v>-195.61525253091531</v>
      </c>
    </row>
    <row r="51" spans="16:35">
      <c r="P51" s="40">
        <v>45</v>
      </c>
      <c r="Q51" s="41">
        <v>2</v>
      </c>
      <c r="R51" s="41">
        <v>1</v>
      </c>
      <c r="S51" s="41">
        <v>-2</v>
      </c>
      <c r="T51" s="41">
        <v>0</v>
      </c>
      <c r="U51" s="42">
        <v>691</v>
      </c>
      <c r="V51" s="42">
        <v>0</v>
      </c>
      <c r="W51" s="42">
        <f t="shared" si="6"/>
        <v>690.57563567348291</v>
      </c>
      <c r="X51" s="42">
        <f t="shared" si="7"/>
        <v>0</v>
      </c>
      <c r="Y51" s="42">
        <f t="shared" si="8"/>
        <v>81.020746066489465</v>
      </c>
      <c r="Z51" s="42">
        <f t="shared" si="9"/>
        <v>0</v>
      </c>
      <c r="AA51" s="37"/>
      <c r="AB51" s="40">
        <v>45</v>
      </c>
      <c r="AC51" s="41">
        <v>0</v>
      </c>
      <c r="AD51" s="41">
        <v>0</v>
      </c>
      <c r="AE51" s="41">
        <v>1</v>
      </c>
      <c r="AF51" s="41">
        <v>3</v>
      </c>
      <c r="AG51" s="42">
        <v>-283</v>
      </c>
      <c r="AH51" s="42">
        <f t="shared" si="10"/>
        <v>-283</v>
      </c>
      <c r="AI51" s="42">
        <f t="shared" si="11"/>
        <v>221.92549094539331</v>
      </c>
    </row>
    <row r="52" spans="16:35">
      <c r="P52" s="40">
        <v>46</v>
      </c>
      <c r="Q52" s="41">
        <v>2</v>
      </c>
      <c r="R52" s="41">
        <v>-1</v>
      </c>
      <c r="S52" s="41">
        <v>0</v>
      </c>
      <c r="T52" s="41">
        <v>-2</v>
      </c>
      <c r="U52" s="42">
        <v>596</v>
      </c>
      <c r="V52" s="42">
        <v>0</v>
      </c>
      <c r="W52" s="42">
        <f t="shared" si="6"/>
        <v>595.63397809174501</v>
      </c>
      <c r="X52" s="42">
        <f t="shared" si="7"/>
        <v>0</v>
      </c>
      <c r="Y52" s="42">
        <f t="shared" si="8"/>
        <v>487.20055417779463</v>
      </c>
      <c r="Z52" s="42">
        <f t="shared" si="9"/>
        <v>0</v>
      </c>
      <c r="AA52" s="37"/>
      <c r="AB52" s="40">
        <v>46</v>
      </c>
      <c r="AC52" s="41">
        <v>2</v>
      </c>
      <c r="AD52" s="41">
        <v>1</v>
      </c>
      <c r="AE52" s="41">
        <v>1</v>
      </c>
      <c r="AF52" s="41">
        <v>-1</v>
      </c>
      <c r="AG52" s="42">
        <v>-229</v>
      </c>
      <c r="AH52" s="42">
        <f t="shared" si="10"/>
        <v>-228.85936406545235</v>
      </c>
      <c r="AI52" s="42">
        <f t="shared" si="11"/>
        <v>-54.811758819595553</v>
      </c>
    </row>
    <row r="53" spans="16:35">
      <c r="P53" s="40">
        <v>47</v>
      </c>
      <c r="Q53" s="41">
        <v>4</v>
      </c>
      <c r="R53" s="41">
        <v>0</v>
      </c>
      <c r="S53" s="41">
        <v>1</v>
      </c>
      <c r="T53" s="41">
        <v>0</v>
      </c>
      <c r="U53" s="42">
        <v>549</v>
      </c>
      <c r="V53" s="42">
        <v>-1423</v>
      </c>
      <c r="W53" s="42">
        <f t="shared" si="6"/>
        <v>549</v>
      </c>
      <c r="X53" s="42">
        <f t="shared" si="7"/>
        <v>-1423</v>
      </c>
      <c r="Y53" s="42">
        <f t="shared" si="8"/>
        <v>-548.69109040204205</v>
      </c>
      <c r="Z53" s="42">
        <f t="shared" si="9"/>
        <v>-47.729658422616232</v>
      </c>
      <c r="AA53" s="37"/>
      <c r="AB53" s="40">
        <v>47</v>
      </c>
      <c r="AC53" s="41">
        <v>1</v>
      </c>
      <c r="AD53" s="41">
        <v>1</v>
      </c>
      <c r="AE53" s="41">
        <v>0</v>
      </c>
      <c r="AF53" s="41">
        <v>-1</v>
      </c>
      <c r="AG53" s="42">
        <v>223</v>
      </c>
      <c r="AH53" s="42">
        <f t="shared" si="10"/>
        <v>222.86304884976366</v>
      </c>
      <c r="AI53" s="42">
        <f t="shared" si="11"/>
        <v>222.86284664072468</v>
      </c>
    </row>
    <row r="54" spans="16:35">
      <c r="P54" s="40">
        <v>48</v>
      </c>
      <c r="Q54" s="41">
        <v>0</v>
      </c>
      <c r="R54" s="41">
        <v>0</v>
      </c>
      <c r="S54" s="41">
        <v>4</v>
      </c>
      <c r="T54" s="41">
        <v>0</v>
      </c>
      <c r="U54" s="42">
        <v>537</v>
      </c>
      <c r="V54" s="42">
        <v>-1117</v>
      </c>
      <c r="W54" s="42">
        <f t="shared" si="6"/>
        <v>537</v>
      </c>
      <c r="X54" s="42">
        <f t="shared" si="7"/>
        <v>-1117</v>
      </c>
      <c r="Y54" s="42">
        <f t="shared" si="8"/>
        <v>-521.17398743156321</v>
      </c>
      <c r="Z54" s="42">
        <f t="shared" si="9"/>
        <v>-269.18024322122312</v>
      </c>
      <c r="AA54" s="37"/>
      <c r="AB54" s="40">
        <v>48</v>
      </c>
      <c r="AC54" s="41">
        <v>1</v>
      </c>
      <c r="AD54" s="41">
        <v>1</v>
      </c>
      <c r="AE54" s="41">
        <v>0</v>
      </c>
      <c r="AF54" s="41">
        <v>1</v>
      </c>
      <c r="AG54" s="42">
        <v>223</v>
      </c>
      <c r="AH54" s="42">
        <f t="shared" si="10"/>
        <v>222.86304884976366</v>
      </c>
      <c r="AI54" s="42">
        <f t="shared" si="11"/>
        <v>-65.267431284958207</v>
      </c>
    </row>
    <row r="55" spans="16:35">
      <c r="P55" s="40">
        <v>49</v>
      </c>
      <c r="Q55" s="41">
        <v>4</v>
      </c>
      <c r="R55" s="41">
        <v>-1</v>
      </c>
      <c r="S55" s="41">
        <v>0</v>
      </c>
      <c r="T55" s="41">
        <v>0</v>
      </c>
      <c r="U55" s="42">
        <v>520</v>
      </c>
      <c r="V55" s="42">
        <v>-1571</v>
      </c>
      <c r="W55" s="42">
        <f t="shared" si="6"/>
        <v>519.68065202635466</v>
      </c>
      <c r="X55" s="42">
        <f t="shared" si="7"/>
        <v>-1570.0352006411601</v>
      </c>
      <c r="Y55" s="42">
        <f t="shared" si="8"/>
        <v>-461.77209613995444</v>
      </c>
      <c r="Z55" s="42">
        <f t="shared" si="9"/>
        <v>720.24276845262023</v>
      </c>
      <c r="AA55" s="37"/>
      <c r="AB55" s="40">
        <v>49</v>
      </c>
      <c r="AC55" s="41">
        <v>0</v>
      </c>
      <c r="AD55" s="41">
        <v>1</v>
      </c>
      <c r="AE55" s="41">
        <v>-2</v>
      </c>
      <c r="AF55" s="41">
        <v>-1</v>
      </c>
      <c r="AG55" s="42">
        <v>-220</v>
      </c>
      <c r="AH55" s="42">
        <f t="shared" si="10"/>
        <v>-219.86489124191931</v>
      </c>
      <c r="AI55" s="42">
        <f t="shared" si="11"/>
        <v>-184.98450238821644</v>
      </c>
    </row>
    <row r="56" spans="16:35">
      <c r="P56" s="40">
        <v>50</v>
      </c>
      <c r="Q56" s="41">
        <v>1</v>
      </c>
      <c r="R56" s="41">
        <v>0</v>
      </c>
      <c r="S56" s="41">
        <v>-2</v>
      </c>
      <c r="T56" s="41">
        <v>0</v>
      </c>
      <c r="U56" s="42">
        <v>-487</v>
      </c>
      <c r="V56" s="42">
        <v>-1739</v>
      </c>
      <c r="W56" s="42">
        <f t="shared" si="6"/>
        <v>-487</v>
      </c>
      <c r="X56" s="42">
        <f t="shared" si="7"/>
        <v>-1739</v>
      </c>
      <c r="Y56" s="42">
        <f t="shared" si="8"/>
        <v>-333.75625628119525</v>
      </c>
      <c r="Z56" s="42">
        <f t="shared" si="9"/>
        <v>-1266.3947408821209</v>
      </c>
      <c r="AA56" s="37"/>
      <c r="AB56" s="40">
        <v>50</v>
      </c>
      <c r="AC56" s="41">
        <v>2</v>
      </c>
      <c r="AD56" s="41">
        <v>1</v>
      </c>
      <c r="AE56" s="41">
        <v>-1</v>
      </c>
      <c r="AF56" s="41">
        <v>-1</v>
      </c>
      <c r="AG56" s="42">
        <v>-220</v>
      </c>
      <c r="AH56" s="42">
        <f t="shared" si="10"/>
        <v>-219.86489124191931</v>
      </c>
      <c r="AI56" s="42">
        <f t="shared" si="11"/>
        <v>-90.024913685376305</v>
      </c>
    </row>
    <row r="57" spans="16:35">
      <c r="P57" s="40">
        <v>51</v>
      </c>
      <c r="Q57" s="41">
        <v>2</v>
      </c>
      <c r="R57" s="41">
        <v>1</v>
      </c>
      <c r="S57" s="41">
        <v>0</v>
      </c>
      <c r="T57" s="41">
        <v>-2</v>
      </c>
      <c r="U57" s="42">
        <v>-399</v>
      </c>
      <c r="V57" s="42">
        <v>0</v>
      </c>
      <c r="W57" s="42">
        <f t="shared" si="6"/>
        <v>-398.7549618432991</v>
      </c>
      <c r="X57" s="42">
        <f t="shared" si="7"/>
        <v>0</v>
      </c>
      <c r="Y57" s="42">
        <f t="shared" si="8"/>
        <v>-264.76273588289234</v>
      </c>
      <c r="Z57" s="42">
        <f t="shared" si="9"/>
        <v>0</v>
      </c>
      <c r="AA57" s="37"/>
      <c r="AB57" s="40">
        <v>51</v>
      </c>
      <c r="AC57" s="41">
        <v>1</v>
      </c>
      <c r="AD57" s="41">
        <v>0</v>
      </c>
      <c r="AE57" s="41">
        <v>1</v>
      </c>
      <c r="AF57" s="41">
        <v>1</v>
      </c>
      <c r="AG57" s="42">
        <v>-185</v>
      </c>
      <c r="AH57" s="42">
        <f t="shared" si="10"/>
        <v>-185</v>
      </c>
      <c r="AI57" s="42">
        <f t="shared" si="11"/>
        <v>142.18750988467983</v>
      </c>
    </row>
    <row r="58" spans="16:35">
      <c r="P58" s="40">
        <v>52</v>
      </c>
      <c r="Q58" s="41">
        <v>0</v>
      </c>
      <c r="R58" s="41">
        <v>0</v>
      </c>
      <c r="S58" s="41">
        <v>2</v>
      </c>
      <c r="T58" s="41">
        <v>-2</v>
      </c>
      <c r="U58" s="42">
        <v>-381</v>
      </c>
      <c r="V58" s="42">
        <v>-4421</v>
      </c>
      <c r="W58" s="42">
        <f t="shared" si="6"/>
        <v>-381</v>
      </c>
      <c r="X58" s="42">
        <f t="shared" si="7"/>
        <v>-4421</v>
      </c>
      <c r="Y58" s="42">
        <f t="shared" si="8"/>
        <v>-217.80192576109752</v>
      </c>
      <c r="Z58" s="42">
        <f t="shared" si="9"/>
        <v>-3627.3933148173242</v>
      </c>
      <c r="AA58" s="37"/>
      <c r="AB58" s="40">
        <v>52</v>
      </c>
      <c r="AC58" s="41">
        <v>2</v>
      </c>
      <c r="AD58" s="41">
        <v>-1</v>
      </c>
      <c r="AE58" s="41">
        <v>-2</v>
      </c>
      <c r="AF58" s="41">
        <v>-1</v>
      </c>
      <c r="AG58" s="42">
        <v>181</v>
      </c>
      <c r="AH58" s="42">
        <f t="shared" si="10"/>
        <v>180.8888423399427</v>
      </c>
      <c r="AI58" s="42">
        <f t="shared" si="11"/>
        <v>-108.10486187084076</v>
      </c>
    </row>
    <row r="59" spans="16:35">
      <c r="P59" s="40">
        <v>53</v>
      </c>
      <c r="Q59" s="41">
        <v>1</v>
      </c>
      <c r="R59" s="41">
        <v>1</v>
      </c>
      <c r="S59" s="41">
        <v>1</v>
      </c>
      <c r="T59" s="41">
        <v>0</v>
      </c>
      <c r="U59" s="42">
        <v>351</v>
      </c>
      <c r="V59" s="42">
        <v>0</v>
      </c>
      <c r="W59" s="42">
        <f t="shared" si="6"/>
        <v>350.78444011778942</v>
      </c>
      <c r="X59" s="42">
        <f t="shared" si="7"/>
        <v>0</v>
      </c>
      <c r="Y59" s="42">
        <f t="shared" si="8"/>
        <v>-198.49560734387961</v>
      </c>
      <c r="Z59" s="42">
        <f t="shared" si="9"/>
        <v>0</v>
      </c>
      <c r="AA59" s="37"/>
      <c r="AB59" s="40">
        <v>53</v>
      </c>
      <c r="AC59" s="41">
        <v>0</v>
      </c>
      <c r="AD59" s="41">
        <v>1</v>
      </c>
      <c r="AE59" s="41">
        <v>2</v>
      </c>
      <c r="AF59" s="41">
        <v>1</v>
      </c>
      <c r="AG59" s="42">
        <v>-177</v>
      </c>
      <c r="AH59" s="42">
        <f t="shared" si="10"/>
        <v>-176.89129886281688</v>
      </c>
      <c r="AI59" s="42">
        <f t="shared" si="11"/>
        <v>-78.188451388043106</v>
      </c>
    </row>
    <row r="60" spans="16:35">
      <c r="P60" s="40">
        <v>54</v>
      </c>
      <c r="Q60" s="41">
        <v>3</v>
      </c>
      <c r="R60" s="41">
        <v>0</v>
      </c>
      <c r="S60" s="41">
        <v>-2</v>
      </c>
      <c r="T60" s="41">
        <v>0</v>
      </c>
      <c r="U60" s="42">
        <v>-340</v>
      </c>
      <c r="V60" s="42">
        <v>0</v>
      </c>
      <c r="W60" s="42">
        <f t="shared" si="6"/>
        <v>-340</v>
      </c>
      <c r="X60" s="42">
        <f t="shared" si="7"/>
        <v>0</v>
      </c>
      <c r="Y60" s="42">
        <f t="shared" si="8"/>
        <v>-274.11971999796896</v>
      </c>
      <c r="Z60" s="42">
        <f t="shared" si="9"/>
        <v>0</v>
      </c>
      <c r="AA60" s="37"/>
      <c r="AB60" s="40">
        <v>54</v>
      </c>
      <c r="AC60" s="41">
        <v>4</v>
      </c>
      <c r="AD60" s="41">
        <v>0</v>
      </c>
      <c r="AE60" s="41">
        <v>-2</v>
      </c>
      <c r="AF60" s="41">
        <v>-1</v>
      </c>
      <c r="AG60" s="42">
        <v>176</v>
      </c>
      <c r="AH60" s="42">
        <f t="shared" si="10"/>
        <v>176</v>
      </c>
      <c r="AI60" s="42">
        <f t="shared" si="11"/>
        <v>16.595023718721841</v>
      </c>
    </row>
    <row r="61" spans="16:35">
      <c r="P61" s="40">
        <v>55</v>
      </c>
      <c r="Q61" s="41">
        <v>4</v>
      </c>
      <c r="R61" s="41">
        <v>0</v>
      </c>
      <c r="S61" s="41">
        <v>-3</v>
      </c>
      <c r="T61" s="41">
        <v>0</v>
      </c>
      <c r="U61" s="42">
        <v>330</v>
      </c>
      <c r="V61" s="42">
        <v>0</v>
      </c>
      <c r="W61" s="42">
        <f t="shared" si="6"/>
        <v>330</v>
      </c>
      <c r="X61" s="42">
        <f t="shared" si="7"/>
        <v>0</v>
      </c>
      <c r="Y61" s="42">
        <f t="shared" si="8"/>
        <v>-68.737791453328029</v>
      </c>
      <c r="Z61" s="42">
        <f t="shared" si="9"/>
        <v>0</v>
      </c>
      <c r="AA61" s="37"/>
      <c r="AB61" s="40">
        <v>55</v>
      </c>
      <c r="AC61" s="41">
        <v>4</v>
      </c>
      <c r="AD61" s="41">
        <v>-1</v>
      </c>
      <c r="AE61" s="41">
        <v>-1</v>
      </c>
      <c r="AF61" s="41">
        <v>-1</v>
      </c>
      <c r="AG61" s="42">
        <v>166</v>
      </c>
      <c r="AH61" s="42">
        <f t="shared" si="10"/>
        <v>165.89805430072093</v>
      </c>
      <c r="AI61" s="42">
        <f t="shared" si="11"/>
        <v>146.26858492023365</v>
      </c>
    </row>
    <row r="62" spans="16:35">
      <c r="P62" s="40">
        <v>56</v>
      </c>
      <c r="Q62" s="41">
        <v>2</v>
      </c>
      <c r="R62" s="41">
        <v>-1</v>
      </c>
      <c r="S62" s="41">
        <v>2</v>
      </c>
      <c r="T62" s="41">
        <v>0</v>
      </c>
      <c r="U62" s="42">
        <v>327</v>
      </c>
      <c r="V62" s="42">
        <v>0</v>
      </c>
      <c r="W62" s="42">
        <f t="shared" si="6"/>
        <v>326.79917925503457</v>
      </c>
      <c r="X62" s="42">
        <f t="shared" si="7"/>
        <v>0</v>
      </c>
      <c r="Y62" s="42">
        <f t="shared" si="8"/>
        <v>80.156971302315625</v>
      </c>
      <c r="Z62" s="42">
        <f t="shared" si="9"/>
        <v>0</v>
      </c>
      <c r="AA62" s="37"/>
      <c r="AB62" s="40">
        <v>56</v>
      </c>
      <c r="AC62" s="41">
        <v>1</v>
      </c>
      <c r="AD62" s="41">
        <v>0</v>
      </c>
      <c r="AE62" s="41">
        <v>1</v>
      </c>
      <c r="AF62" s="41">
        <v>-1</v>
      </c>
      <c r="AG62" s="42">
        <v>-164</v>
      </c>
      <c r="AH62" s="42">
        <f t="shared" si="10"/>
        <v>-164</v>
      </c>
      <c r="AI62" s="42">
        <f t="shared" si="11"/>
        <v>63.201382172147454</v>
      </c>
    </row>
    <row r="63" spans="16:35">
      <c r="P63" s="40">
        <v>57</v>
      </c>
      <c r="Q63" s="41">
        <v>0</v>
      </c>
      <c r="R63" s="41">
        <v>2</v>
      </c>
      <c r="S63" s="41">
        <v>1</v>
      </c>
      <c r="T63" s="41">
        <v>0</v>
      </c>
      <c r="U63" s="42">
        <v>-323</v>
      </c>
      <c r="V63" s="42">
        <v>1165</v>
      </c>
      <c r="W63" s="42">
        <f t="shared" si="6"/>
        <v>-322.6033933773798</v>
      </c>
      <c r="X63" s="42">
        <f t="shared" si="7"/>
        <v>1163.5695148131501</v>
      </c>
      <c r="Y63" s="42">
        <f t="shared" si="8"/>
        <v>-69.988004774849301</v>
      </c>
      <c r="Z63" s="42">
        <f t="shared" si="9"/>
        <v>-1135.8570931094184</v>
      </c>
      <c r="AA63" s="37"/>
      <c r="AB63" s="40">
        <v>57</v>
      </c>
      <c r="AC63" s="41">
        <v>4</v>
      </c>
      <c r="AD63" s="41">
        <v>0</v>
      </c>
      <c r="AE63" s="41">
        <v>1</v>
      </c>
      <c r="AF63" s="41">
        <v>-1</v>
      </c>
      <c r="AG63" s="42">
        <v>132</v>
      </c>
      <c r="AH63" s="42">
        <f t="shared" si="10"/>
        <v>132</v>
      </c>
      <c r="AI63" s="42">
        <f t="shared" si="11"/>
        <v>81.935458271242823</v>
      </c>
    </row>
    <row r="64" spans="16:35">
      <c r="P64" s="40">
        <v>58</v>
      </c>
      <c r="Q64" s="41">
        <v>1</v>
      </c>
      <c r="R64" s="41">
        <v>1</v>
      </c>
      <c r="S64" s="41">
        <v>-1</v>
      </c>
      <c r="T64" s="41">
        <v>0</v>
      </c>
      <c r="U64" s="42">
        <v>299</v>
      </c>
      <c r="V64" s="42">
        <v>0</v>
      </c>
      <c r="W64" s="42">
        <f t="shared" si="6"/>
        <v>298.81637491515397</v>
      </c>
      <c r="X64" s="42">
        <f t="shared" si="7"/>
        <v>0</v>
      </c>
      <c r="Y64" s="42">
        <f t="shared" si="8"/>
        <v>284.97029507092896</v>
      </c>
      <c r="Z64" s="42">
        <f t="shared" si="9"/>
        <v>0</v>
      </c>
      <c r="AA64" s="37"/>
      <c r="AB64" s="40">
        <v>58</v>
      </c>
      <c r="AC64" s="41">
        <v>1</v>
      </c>
      <c r="AD64" s="41">
        <v>0</v>
      </c>
      <c r="AE64" s="41">
        <v>-1</v>
      </c>
      <c r="AF64" s="41">
        <v>-1</v>
      </c>
      <c r="AG64" s="42">
        <v>-119</v>
      </c>
      <c r="AH64" s="42">
        <f t="shared" si="10"/>
        <v>-119</v>
      </c>
      <c r="AI64" s="42">
        <f t="shared" si="11"/>
        <v>-103.770791460434</v>
      </c>
    </row>
    <row r="65" spans="16:35">
      <c r="P65" s="40">
        <v>59</v>
      </c>
      <c r="Q65" s="41">
        <v>2</v>
      </c>
      <c r="R65" s="41">
        <v>0</v>
      </c>
      <c r="S65" s="41">
        <v>3</v>
      </c>
      <c r="T65" s="41">
        <v>0</v>
      </c>
      <c r="U65" s="42">
        <v>294</v>
      </c>
      <c r="V65" s="42">
        <v>0</v>
      </c>
      <c r="W65" s="42">
        <f t="shared" si="6"/>
        <v>294</v>
      </c>
      <c r="X65" s="42">
        <f t="shared" si="7"/>
        <v>0</v>
      </c>
      <c r="Y65" s="42">
        <f t="shared" si="8"/>
        <v>202.1025143269089</v>
      </c>
      <c r="Z65" s="42">
        <f t="shared" si="9"/>
        <v>0</v>
      </c>
      <c r="AA65" s="37"/>
      <c r="AB65" s="40">
        <v>59</v>
      </c>
      <c r="AC65" s="41">
        <v>4</v>
      </c>
      <c r="AD65" s="41">
        <v>-1</v>
      </c>
      <c r="AE65" s="41">
        <v>0</v>
      </c>
      <c r="AF65" s="41">
        <v>-1</v>
      </c>
      <c r="AG65" s="42">
        <v>115</v>
      </c>
      <c r="AH65" s="42">
        <f t="shared" si="10"/>
        <v>114.92937496736691</v>
      </c>
      <c r="AI65" s="42">
        <f t="shared" si="11"/>
        <v>18.257778853785553</v>
      </c>
    </row>
    <row r="66" spans="16:35">
      <c r="P66" s="40">
        <v>60</v>
      </c>
      <c r="Q66" s="41">
        <v>2</v>
      </c>
      <c r="R66" s="41">
        <v>0</v>
      </c>
      <c r="S66" s="41">
        <v>-1</v>
      </c>
      <c r="T66" s="41">
        <v>-2</v>
      </c>
      <c r="U66" s="42">
        <v>0</v>
      </c>
      <c r="V66" s="42">
        <v>8752</v>
      </c>
      <c r="W66" s="42">
        <f t="shared" si="6"/>
        <v>0</v>
      </c>
      <c r="X66" s="42">
        <f t="shared" si="7"/>
        <v>8752</v>
      </c>
      <c r="Y66" s="42">
        <f t="shared" si="8"/>
        <v>0</v>
      </c>
      <c r="Z66" s="42">
        <f t="shared" si="9"/>
        <v>8548.6404623302333</v>
      </c>
      <c r="AA66" s="37"/>
      <c r="AB66" s="40">
        <v>60</v>
      </c>
      <c r="AC66" s="41">
        <v>2</v>
      </c>
      <c r="AD66" s="41">
        <v>-2</v>
      </c>
      <c r="AE66" s="41">
        <v>0</v>
      </c>
      <c r="AF66" s="41">
        <v>1</v>
      </c>
      <c r="AG66" s="42">
        <v>107</v>
      </c>
      <c r="AH66" s="42">
        <f t="shared" si="10"/>
        <v>106.8686163819803</v>
      </c>
      <c r="AI66" s="42">
        <f t="shared" si="11"/>
        <v>-57.362000979147325</v>
      </c>
    </row>
    <row r="67" spans="16:35">
      <c r="P67" s="43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43"/>
      <c r="AD67" s="43"/>
      <c r="AE67" s="43"/>
      <c r="AF67" s="43"/>
      <c r="AG67" s="37"/>
      <c r="AH67" s="37"/>
      <c r="AI67" s="37"/>
    </row>
    <row r="68" spans="16:35">
      <c r="P68" s="43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43"/>
      <c r="AD68" s="43"/>
      <c r="AE68" s="43"/>
      <c r="AF68" s="43"/>
      <c r="AG68" s="37"/>
      <c r="AH68" s="37"/>
      <c r="AI68" s="37"/>
    </row>
    <row r="69" spans="16:35">
      <c r="P69" s="43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43"/>
      <c r="AD69" s="43"/>
      <c r="AE69" s="43"/>
      <c r="AF69" s="43"/>
      <c r="AG69" s="37"/>
      <c r="AH69" s="37"/>
      <c r="AI69" s="37"/>
    </row>
    <row r="70" spans="16:35">
      <c r="P70" s="43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43"/>
      <c r="AD70" s="43"/>
      <c r="AE70" s="43"/>
      <c r="AF70" s="43"/>
      <c r="AG70" s="37"/>
      <c r="AH70" s="37"/>
      <c r="AI70" s="37"/>
    </row>
    <row r="71" spans="16:35">
      <c r="P71" s="43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43"/>
      <c r="AD71" s="43"/>
      <c r="AE71" s="43"/>
      <c r="AF71" s="43"/>
      <c r="AG71" s="37"/>
      <c r="AH71" s="37"/>
      <c r="AI71" s="37"/>
    </row>
    <row r="72" spans="16:35">
      <c r="P72" s="43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43"/>
      <c r="AD72" s="43"/>
      <c r="AE72" s="43"/>
      <c r="AF72" s="43"/>
      <c r="AG72" s="37"/>
      <c r="AH72" s="37"/>
      <c r="AI72" s="37"/>
    </row>
    <row r="73" spans="16:35">
      <c r="P73" s="43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43"/>
      <c r="AD73" s="43"/>
      <c r="AE73" s="43"/>
      <c r="AF73" s="43"/>
      <c r="AG73" s="37"/>
      <c r="AH73" s="37"/>
      <c r="AI73" s="37"/>
    </row>
    <row r="74" spans="16:35">
      <c r="P74" s="43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43"/>
      <c r="AD74" s="43"/>
      <c r="AE74" s="43"/>
      <c r="AF74" s="43"/>
      <c r="AG74" s="37"/>
      <c r="AH74" s="37"/>
      <c r="AI74" s="37"/>
    </row>
    <row r="75" spans="16:35">
      <c r="P75" s="43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43"/>
      <c r="AD75" s="43"/>
      <c r="AE75" s="43"/>
      <c r="AF75" s="43"/>
      <c r="AG75" s="37"/>
      <c r="AH75" s="37"/>
      <c r="AI75" s="37"/>
    </row>
    <row r="76" spans="16:35">
      <c r="P76" s="43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43"/>
      <c r="AD76" s="43"/>
      <c r="AE76" s="43"/>
      <c r="AF76" s="43"/>
      <c r="AG76" s="37"/>
      <c r="AH76" s="37"/>
      <c r="AI76" s="37"/>
    </row>
    <row r="77" spans="16:35">
      <c r="P77" s="43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43"/>
      <c r="AD77" s="43"/>
      <c r="AE77" s="43"/>
      <c r="AF77" s="43"/>
      <c r="AG77" s="37"/>
      <c r="AH77" s="37"/>
      <c r="AI77" s="37"/>
    </row>
    <row r="78" spans="16:35">
      <c r="P78" s="43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43"/>
      <c r="AD78" s="43"/>
      <c r="AE78" s="43"/>
      <c r="AF78" s="43"/>
      <c r="AG78" s="37"/>
      <c r="AH78" s="37"/>
      <c r="AI78" s="37"/>
    </row>
    <row r="79" spans="16:35">
      <c r="P79" s="43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43"/>
      <c r="AD79" s="43"/>
      <c r="AE79" s="43"/>
      <c r="AF79" s="43"/>
      <c r="AG79" s="37"/>
      <c r="AH79" s="37"/>
      <c r="AI79" s="37"/>
    </row>
    <row r="80" spans="16:35">
      <c r="P80" s="43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43"/>
      <c r="AD80" s="43"/>
      <c r="AE80" s="43"/>
      <c r="AF80" s="43"/>
      <c r="AG80" s="37"/>
      <c r="AH80" s="37"/>
      <c r="AI80" s="37"/>
    </row>
    <row r="81" spans="16:35">
      <c r="P81" s="43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43"/>
      <c r="AD81" s="43"/>
      <c r="AE81" s="43"/>
      <c r="AF81" s="43"/>
      <c r="AG81" s="37"/>
      <c r="AH81" s="37"/>
      <c r="AI81" s="37"/>
    </row>
    <row r="82" spans="16:35">
      <c r="P82" s="43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43"/>
      <c r="AD82" s="43"/>
      <c r="AE82" s="43"/>
      <c r="AF82" s="43"/>
      <c r="AG82" s="37"/>
      <c r="AH82" s="37"/>
      <c r="AI82" s="37"/>
    </row>
    <row r="83" spans="16:35">
      <c r="P83" s="43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43"/>
      <c r="AD83" s="43"/>
      <c r="AE83" s="43"/>
      <c r="AF83" s="43"/>
      <c r="AG83" s="37"/>
      <c r="AH83" s="37"/>
      <c r="AI83" s="37"/>
    </row>
    <row r="84" spans="16:35">
      <c r="P84" s="43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43"/>
      <c r="AD84" s="43"/>
      <c r="AE84" s="43"/>
      <c r="AF84" s="43"/>
      <c r="AG84" s="37"/>
      <c r="AH84" s="37"/>
      <c r="AI84" s="37"/>
    </row>
    <row r="85" spans="16:35">
      <c r="P85" s="43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43"/>
      <c r="AD85" s="43"/>
      <c r="AE85" s="43"/>
      <c r="AF85" s="43"/>
      <c r="AG85" s="37"/>
      <c r="AH85" s="37"/>
      <c r="AI85" s="37"/>
    </row>
    <row r="86" spans="16:35">
      <c r="P86" s="43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43"/>
      <c r="AD86" s="43"/>
      <c r="AE86" s="43"/>
      <c r="AF86" s="43"/>
      <c r="AG86" s="37"/>
      <c r="AH86" s="37"/>
      <c r="AI86" s="37"/>
    </row>
    <row r="87" spans="16:35">
      <c r="P87" s="43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43"/>
      <c r="AD87" s="43"/>
      <c r="AE87" s="43"/>
      <c r="AF87" s="43"/>
      <c r="AG87" s="37"/>
      <c r="AH87" s="37"/>
      <c r="AI87" s="37"/>
    </row>
    <row r="88" spans="16:35">
      <c r="P88" s="43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43"/>
      <c r="AD88" s="43"/>
      <c r="AE88" s="43"/>
      <c r="AF88" s="43"/>
      <c r="AG88" s="37"/>
      <c r="AH88" s="37"/>
      <c r="AI88" s="37"/>
    </row>
    <row r="89" spans="16:35">
      <c r="P89" s="43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43"/>
      <c r="AD89" s="43"/>
      <c r="AE89" s="43"/>
      <c r="AF89" s="43"/>
      <c r="AG89" s="37"/>
      <c r="AH89" s="37"/>
      <c r="AI89" s="37"/>
    </row>
    <row r="90" spans="16:35">
      <c r="P90" s="43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43"/>
      <c r="AD90" s="43"/>
      <c r="AE90" s="43"/>
      <c r="AF90" s="43"/>
      <c r="AG90" s="37"/>
      <c r="AH90" s="37"/>
      <c r="AI90" s="37"/>
    </row>
    <row r="91" spans="16:35">
      <c r="P91" s="43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43"/>
      <c r="AD91" s="43"/>
      <c r="AE91" s="43"/>
      <c r="AF91" s="43"/>
      <c r="AG91" s="37"/>
      <c r="AH91" s="37"/>
      <c r="AI91" s="37"/>
    </row>
    <row r="92" spans="16:35">
      <c r="P92" s="43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43"/>
      <c r="AD92" s="43"/>
      <c r="AE92" s="43"/>
      <c r="AF92" s="43"/>
      <c r="AG92" s="37"/>
      <c r="AH92" s="37"/>
      <c r="AI92" s="37"/>
    </row>
    <row r="93" spans="16:35">
      <c r="P93" s="43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43"/>
      <c r="AD93" s="43"/>
      <c r="AE93" s="43"/>
      <c r="AF93" s="43"/>
      <c r="AG93" s="37"/>
      <c r="AH93" s="37"/>
      <c r="AI93" s="37"/>
    </row>
    <row r="94" spans="16:35">
      <c r="P94" s="43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43"/>
      <c r="AD94" s="43"/>
      <c r="AE94" s="43"/>
      <c r="AF94" s="43"/>
      <c r="AG94" s="37"/>
      <c r="AH94" s="37"/>
      <c r="AI94" s="37"/>
    </row>
    <row r="95" spans="16:35">
      <c r="P95" s="43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43"/>
      <c r="AD95" s="43"/>
      <c r="AE95" s="43"/>
      <c r="AF95" s="43"/>
      <c r="AG95" s="37"/>
      <c r="AH95" s="37"/>
      <c r="AI95" s="37"/>
    </row>
    <row r="96" spans="16:35">
      <c r="P96" s="43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43"/>
      <c r="AD96" s="43"/>
      <c r="AE96" s="43"/>
      <c r="AF96" s="43"/>
      <c r="AG96" s="37"/>
      <c r="AH96" s="37"/>
      <c r="AI96" s="37"/>
    </row>
    <row r="97" spans="16:35">
      <c r="P97" s="43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43"/>
      <c r="AD97" s="43"/>
      <c r="AE97" s="43"/>
      <c r="AF97" s="43"/>
      <c r="AG97" s="37"/>
      <c r="AH97" s="37"/>
      <c r="AI97" s="37"/>
    </row>
    <row r="98" spans="16:35">
      <c r="P98" s="43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43"/>
      <c r="AD98" s="43"/>
      <c r="AE98" s="43"/>
      <c r="AF98" s="43"/>
      <c r="AG98" s="37"/>
      <c r="AH98" s="37"/>
      <c r="AI98" s="37"/>
    </row>
    <row r="99" spans="16:35">
      <c r="P99" s="43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43"/>
      <c r="AD99" s="43"/>
      <c r="AE99" s="43"/>
      <c r="AF99" s="43"/>
      <c r="AG99" s="37"/>
      <c r="AH99" s="37"/>
      <c r="AI99" s="37"/>
    </row>
    <row r="100" spans="16:35">
      <c r="P100" s="43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43"/>
      <c r="AD100" s="43"/>
      <c r="AE100" s="43"/>
      <c r="AF100" s="43"/>
      <c r="AG100" s="37"/>
      <c r="AH100" s="37"/>
      <c r="AI100" s="37"/>
    </row>
  </sheetData>
  <sheetProtection sheet="1" objects="1" scenarios="1"/>
  <mergeCells count="1">
    <mergeCell ref="B16:D16"/>
  </mergeCells>
  <dataValidations count="1">
    <dataValidation type="list" allowBlank="1" showInputMessage="1" showErrorMessage="1" sqref="C11" xr:uid="{CB19EBC9-16B4-AC4F-942E-C54AEAC5871B}">
      <formula1>$B$16:$B$20</formula1>
    </dataValidation>
  </dataValidations>
  <pageMargins left="0.75" right="0.75" top="1" bottom="1" header="0.5" footer="0.5"/>
  <pageSetup paperSize="9" orientation="portrait" horizontalDpi="360" verticalDpi="0" copies="0"/>
  <headerFooter alignWithMargins="0">
    <oddHeader>&amp;A</oddHeader>
    <oddFooter>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F4E2-D803-C947-B70D-E9CF850BDB7E}">
  <dimension ref="A1"/>
  <sheetViews>
    <sheetView showGridLines="0" workbookViewId="0">
      <selection activeCell="Q49" sqref="Q49"/>
    </sheetView>
  </sheetViews>
  <sheetFormatPr baseColWidth="10" defaultRowHeight="15"/>
  <sheetData/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Moon Position</vt:lpstr>
      <vt:lpstr>Background</vt:lpstr>
    </vt:vector>
  </TitlesOfParts>
  <Manager/>
  <Company>Astronomy Morsels</Company>
  <LinksUpToDate>false</LinksUpToDate>
  <SharedDoc>false</SharedDoc>
  <HyperlinkBase>www.astronomy-morsels.ch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Moon Position</dc:title>
  <dc:subject/>
  <dc:creator>Anton Viola</dc:creator>
  <cp:keywords/>
  <dc:description/>
  <cp:lastModifiedBy>Anton Viola</cp:lastModifiedBy>
  <dcterms:created xsi:type="dcterms:W3CDTF">2008-11-21T13:31:34Z</dcterms:created>
  <dcterms:modified xsi:type="dcterms:W3CDTF">2024-05-24T14:28:10Z</dcterms:modified>
  <cp:category/>
</cp:coreProperties>
</file>