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ate1904="1" defaultThemeVersion="202300"/>
  <mc:AlternateContent xmlns:mc="http://schemas.openxmlformats.org/markup-compatibility/2006">
    <mc:Choice Requires="x15">
      <x15ac:absPath xmlns:x15ac="http://schemas.microsoft.com/office/spreadsheetml/2010/11/ac" url="/Users/hanssassenburg/Library/CloudStorage/Dropbox/X_Private/20_Astronomy/Morsels/"/>
    </mc:Choice>
  </mc:AlternateContent>
  <xr:revisionPtr revIDLastSave="0" documentId="13_ncr:1_{0F1BBABA-9AAB-AD48-80C2-3B7C3A4D707E}" xr6:coauthVersionLast="47" xr6:coauthVersionMax="47" xr10:uidLastSave="{00000000-0000-0000-0000-000000000000}"/>
  <bookViews>
    <workbookView xWindow="8260" yWindow="1500" windowWidth="38100" windowHeight="25520" xr2:uid="{D9672E12-1E1C-684E-94B3-32B05132FC52}"/>
  </bookViews>
  <sheets>
    <sheet name="Introduction" sheetId="5" r:id="rId1"/>
    <sheet name="Mercury" sheetId="1" r:id="rId2"/>
    <sheet name="Background"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E30" i="1"/>
  <c r="E29" i="1"/>
  <c r="E28" i="1"/>
  <c r="E27"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7" i="1"/>
  <c r="O8" i="1"/>
  <c r="O9" i="1"/>
  <c r="O10" i="1"/>
  <c r="O11" i="1"/>
  <c r="O12" i="1"/>
  <c r="O13" i="1"/>
  <c r="O14" i="1"/>
  <c r="O15" i="1"/>
  <c r="O16" i="1"/>
  <c r="O17" i="1"/>
  <c r="O18" i="1"/>
  <c r="O6" i="1"/>
  <c r="Z103" i="1"/>
  <c r="Z102" i="1"/>
  <c r="C7" i="1"/>
  <c r="C8" i="1" s="1"/>
  <c r="C10" i="1" s="1"/>
  <c r="C13" i="1"/>
  <c r="C12" i="1"/>
  <c r="AB49" i="1" l="1"/>
  <c r="AA49" i="1"/>
  <c r="AC39" i="1"/>
  <c r="AA39" i="1"/>
  <c r="AE90" i="1"/>
  <c r="AC36" i="1"/>
  <c r="AB36" i="1"/>
  <c r="AB33" i="1"/>
  <c r="AD90" i="1"/>
  <c r="AL90" i="1" s="1"/>
  <c r="AA33" i="1"/>
  <c r="AA30" i="1"/>
  <c r="AB52" i="1"/>
  <c r="AE87" i="1"/>
  <c r="AE77" i="1"/>
  <c r="AA88" i="1"/>
  <c r="AB75" i="1"/>
  <c r="AB65" i="1"/>
  <c r="AC62" i="1"/>
  <c r="AC52" i="1"/>
  <c r="AB78" i="1"/>
  <c r="AA78" i="1"/>
  <c r="AA75" i="1"/>
  <c r="AB62" i="1"/>
  <c r="AA91" i="1"/>
  <c r="AC65" i="1"/>
  <c r="AA65" i="1"/>
  <c r="AE99" i="1"/>
  <c r="AD52" i="1"/>
  <c r="AL52" i="1" s="1"/>
  <c r="AE29" i="1"/>
  <c r="AA97" i="1"/>
  <c r="AD84" i="1"/>
  <c r="AL84" i="1" s="1"/>
  <c r="AE71" i="1"/>
  <c r="AA59" i="1"/>
  <c r="AE45" i="1"/>
  <c r="AE26" i="1"/>
  <c r="AD97" i="1"/>
  <c r="AL97" i="1" s="1"/>
  <c r="AE61" i="1"/>
  <c r="AB97" i="1"/>
  <c r="AE58" i="1"/>
  <c r="AD45" i="1"/>
  <c r="AD26" i="1"/>
  <c r="AB84" i="1"/>
  <c r="AD58" i="1"/>
  <c r="AL58" i="1" s="1"/>
  <c r="AC45" i="1"/>
  <c r="AC23" i="1"/>
  <c r="AC97" i="1"/>
  <c r="AJ97" i="1" s="1"/>
  <c r="AK97" i="1" s="1"/>
  <c r="AE84" i="1"/>
  <c r="AE74" i="1"/>
  <c r="AD48" i="1"/>
  <c r="AC84" i="1"/>
  <c r="AE55" i="1"/>
  <c r="AD42" i="1"/>
  <c r="AD87" i="1"/>
  <c r="AL87" i="1" s="1"/>
  <c r="AD74" i="1"/>
  <c r="AL74" i="1" s="1"/>
  <c r="AB59" i="1"/>
  <c r="AD71" i="1"/>
  <c r="AL71" i="1" s="1"/>
  <c r="AC71" i="1"/>
  <c r="AD81" i="1"/>
  <c r="AL81" i="1" s="1"/>
  <c r="AE68" i="1"/>
  <c r="AD68" i="1"/>
  <c r="AL68" i="1" s="1"/>
  <c r="AE93" i="1"/>
  <c r="AB81" i="1"/>
  <c r="AC68" i="1"/>
  <c r="AD55" i="1"/>
  <c r="AL55" i="1" s="1"/>
  <c r="AC42" i="1"/>
  <c r="AA62" i="1"/>
  <c r="AC87" i="1"/>
  <c r="AA46" i="1"/>
  <c r="AD96" i="1"/>
  <c r="AL96" i="1" s="1"/>
  <c r="AC94" i="1"/>
  <c r="AE42" i="1"/>
  <c r="AA94" i="1"/>
  <c r="AC93" i="1"/>
  <c r="AA81" i="1"/>
  <c r="AB68" i="1"/>
  <c r="AC55" i="1"/>
  <c r="AB42" i="1"/>
  <c r="AE48" i="1"/>
  <c r="AA72" i="1"/>
  <c r="AB94" i="1"/>
  <c r="AA56" i="1"/>
  <c r="AC81" i="1"/>
  <c r="AB91" i="1"/>
  <c r="AC78" i="1"/>
  <c r="AD65" i="1"/>
  <c r="AL65" i="1" s="1"/>
  <c r="AE52" i="1"/>
  <c r="AD39" i="1"/>
  <c r="AD23" i="1"/>
  <c r="AC20" i="1"/>
  <c r="AB17" i="1"/>
  <c r="AA14" i="1"/>
  <c r="AB20" i="1"/>
  <c r="AA17" i="1"/>
  <c r="AE13" i="1"/>
  <c r="AB39" i="1"/>
  <c r="AA36" i="1"/>
  <c r="AE32" i="1"/>
  <c r="AD29" i="1"/>
  <c r="AC26" i="1"/>
  <c r="AB23" i="1"/>
  <c r="AA20" i="1"/>
  <c r="AE16" i="1"/>
  <c r="AD13" i="1"/>
  <c r="AE35" i="1"/>
  <c r="AD32" i="1"/>
  <c r="AC29" i="1"/>
  <c r="AB26" i="1"/>
  <c r="AA23" i="1"/>
  <c r="AE19" i="1"/>
  <c r="AD16" i="1"/>
  <c r="AC13" i="1"/>
  <c r="AE96" i="1"/>
  <c r="AD93" i="1"/>
  <c r="AL93" i="1" s="1"/>
  <c r="AC90" i="1"/>
  <c r="AJ90" i="1" s="1"/>
  <c r="AK90" i="1" s="1"/>
  <c r="AB87" i="1"/>
  <c r="AA84" i="1"/>
  <c r="AE80" i="1"/>
  <c r="AD77" i="1"/>
  <c r="AL77" i="1" s="1"/>
  <c r="AC74" i="1"/>
  <c r="AB71" i="1"/>
  <c r="AA68" i="1"/>
  <c r="AE64" i="1"/>
  <c r="AD61" i="1"/>
  <c r="AL61" i="1" s="1"/>
  <c r="AC58" i="1"/>
  <c r="AB55" i="1"/>
  <c r="AA52" i="1"/>
  <c r="AC48" i="1"/>
  <c r="AB45" i="1"/>
  <c r="AA42" i="1"/>
  <c r="AE38" i="1"/>
  <c r="AD35" i="1"/>
  <c r="AC32" i="1"/>
  <c r="AB29" i="1"/>
  <c r="AA26" i="1"/>
  <c r="AE22" i="1"/>
  <c r="AD19" i="1"/>
  <c r="AC16" i="1"/>
  <c r="AB13" i="1"/>
  <c r="AB90" i="1"/>
  <c r="AA87" i="1"/>
  <c r="AE83" i="1"/>
  <c r="AD80" i="1"/>
  <c r="AL80" i="1" s="1"/>
  <c r="AC77" i="1"/>
  <c r="AB74" i="1"/>
  <c r="AA71" i="1"/>
  <c r="AE67" i="1"/>
  <c r="AD64" i="1"/>
  <c r="AL64" i="1" s="1"/>
  <c r="AC61" i="1"/>
  <c r="AB58" i="1"/>
  <c r="AA55" i="1"/>
  <c r="AE51" i="1"/>
  <c r="AB48" i="1"/>
  <c r="AA45" i="1"/>
  <c r="AE41" i="1"/>
  <c r="AD38" i="1"/>
  <c r="AC35" i="1"/>
  <c r="AB32" i="1"/>
  <c r="AA29" i="1"/>
  <c r="AE25" i="1"/>
  <c r="AD22" i="1"/>
  <c r="AC19" i="1"/>
  <c r="AB16" i="1"/>
  <c r="AA13" i="1"/>
  <c r="AB93" i="1"/>
  <c r="AA90" i="1"/>
  <c r="AE86" i="1"/>
  <c r="AD83" i="1"/>
  <c r="AL83" i="1" s="1"/>
  <c r="AC80" i="1"/>
  <c r="AB77" i="1"/>
  <c r="AA74" i="1"/>
  <c r="AE70" i="1"/>
  <c r="AD67" i="1"/>
  <c r="AL67" i="1" s="1"/>
  <c r="AC64" i="1"/>
  <c r="AB61" i="1"/>
  <c r="AA58" i="1"/>
  <c r="AE54" i="1"/>
  <c r="AD51" i="1"/>
  <c r="AL51" i="1" s="1"/>
  <c r="AM51" i="1" s="1"/>
  <c r="AA48" i="1"/>
  <c r="AE44" i="1"/>
  <c r="AD41" i="1"/>
  <c r="AC38" i="1"/>
  <c r="AB35" i="1"/>
  <c r="AA32" i="1"/>
  <c r="AE28" i="1"/>
  <c r="AD25" i="1"/>
  <c r="AC22" i="1"/>
  <c r="AB19" i="1"/>
  <c r="AA16" i="1"/>
  <c r="AB96" i="1"/>
  <c r="AA93" i="1"/>
  <c r="AE89" i="1"/>
  <c r="AD86" i="1"/>
  <c r="AL86" i="1" s="1"/>
  <c r="AC83" i="1"/>
  <c r="AB80" i="1"/>
  <c r="AA77" i="1"/>
  <c r="AE73" i="1"/>
  <c r="AD70" i="1"/>
  <c r="AL70" i="1" s="1"/>
  <c r="AC67" i="1"/>
  <c r="AB64" i="1"/>
  <c r="AA61" i="1"/>
  <c r="AE57" i="1"/>
  <c r="AD54" i="1"/>
  <c r="AL54" i="1" s="1"/>
  <c r="AC51" i="1"/>
  <c r="AE47" i="1"/>
  <c r="AD44" i="1"/>
  <c r="AC41" i="1"/>
  <c r="AB38" i="1"/>
  <c r="AA35" i="1"/>
  <c r="AE31" i="1"/>
  <c r="AD28" i="1"/>
  <c r="AC25" i="1"/>
  <c r="AB22" i="1"/>
  <c r="AA19" i="1"/>
  <c r="AE15" i="1"/>
  <c r="AB99" i="1"/>
  <c r="AH99" i="1" s="1"/>
  <c r="AA96" i="1"/>
  <c r="AE92" i="1"/>
  <c r="AD89" i="1"/>
  <c r="AL89" i="1" s="1"/>
  <c r="AC86" i="1"/>
  <c r="AB83" i="1"/>
  <c r="AA80" i="1"/>
  <c r="AE76" i="1"/>
  <c r="AD73" i="1"/>
  <c r="AL73" i="1" s="1"/>
  <c r="AC70" i="1"/>
  <c r="AB67" i="1"/>
  <c r="AA64" i="1"/>
  <c r="AE60" i="1"/>
  <c r="AD57" i="1"/>
  <c r="AL57" i="1" s="1"/>
  <c r="AC54" i="1"/>
  <c r="AB51" i="1"/>
  <c r="AD47" i="1"/>
  <c r="AC44" i="1"/>
  <c r="AB41" i="1"/>
  <c r="AA38" i="1"/>
  <c r="AE34" i="1"/>
  <c r="AD31" i="1"/>
  <c r="AC28" i="1"/>
  <c r="AB25" i="1"/>
  <c r="AA22" i="1"/>
  <c r="AE18" i="1"/>
  <c r="AD15" i="1"/>
  <c r="AD99" i="1"/>
  <c r="AL99" i="1" s="1"/>
  <c r="AE95" i="1"/>
  <c r="AA83" i="1"/>
  <c r="AA67" i="1"/>
  <c r="AE63" i="1"/>
  <c r="AA51" i="1"/>
  <c r="AC47" i="1"/>
  <c r="AB44" i="1"/>
  <c r="AA41" i="1"/>
  <c r="AE37" i="1"/>
  <c r="AD34" i="1"/>
  <c r="AC31" i="1"/>
  <c r="AB28" i="1"/>
  <c r="AA25" i="1"/>
  <c r="AE21" i="1"/>
  <c r="AD18" i="1"/>
  <c r="AC15" i="1"/>
  <c r="AC99" i="1"/>
  <c r="AC89" i="1"/>
  <c r="AJ89" i="1" s="1"/>
  <c r="AK89" i="1" s="1"/>
  <c r="AC73" i="1"/>
  <c r="AD60" i="1"/>
  <c r="AL60" i="1" s="1"/>
  <c r="AE98" i="1"/>
  <c r="AD95" i="1"/>
  <c r="AL95" i="1" s="1"/>
  <c r="AC92" i="1"/>
  <c r="AJ92" i="1" s="1"/>
  <c r="AK92" i="1" s="1"/>
  <c r="AB89" i="1"/>
  <c r="AA86" i="1"/>
  <c r="AE82" i="1"/>
  <c r="AD79" i="1"/>
  <c r="AL79" i="1" s="1"/>
  <c r="AC76" i="1"/>
  <c r="AB73" i="1"/>
  <c r="AA70" i="1"/>
  <c r="AE66" i="1"/>
  <c r="AD63" i="1"/>
  <c r="AL63" i="1" s="1"/>
  <c r="AC60" i="1"/>
  <c r="AB57" i="1"/>
  <c r="AA54" i="1"/>
  <c r="AE50" i="1"/>
  <c r="AB47" i="1"/>
  <c r="AA44" i="1"/>
  <c r="AE40" i="1"/>
  <c r="AD37" i="1"/>
  <c r="AC34" i="1"/>
  <c r="AB31" i="1"/>
  <c r="AA28" i="1"/>
  <c r="AE24" i="1"/>
  <c r="AD21" i="1"/>
  <c r="AC18" i="1"/>
  <c r="AB15" i="1"/>
  <c r="AC96" i="1"/>
  <c r="AA99" i="1"/>
  <c r="AB86" i="1"/>
  <c r="AD76" i="1"/>
  <c r="AL76" i="1" s="1"/>
  <c r="AC57" i="1"/>
  <c r="AD98" i="1"/>
  <c r="AL98" i="1" s="1"/>
  <c r="AC95" i="1"/>
  <c r="AJ95" i="1" s="1"/>
  <c r="AK95" i="1" s="1"/>
  <c r="AB92" i="1"/>
  <c r="AA89" i="1"/>
  <c r="AE85" i="1"/>
  <c r="AD82" i="1"/>
  <c r="AL82" i="1" s="1"/>
  <c r="AC79" i="1"/>
  <c r="AB76" i="1"/>
  <c r="AA73" i="1"/>
  <c r="AE69" i="1"/>
  <c r="AD66" i="1"/>
  <c r="AL66" i="1" s="1"/>
  <c r="AC63" i="1"/>
  <c r="AB60" i="1"/>
  <c r="AA57" i="1"/>
  <c r="AE53" i="1"/>
  <c r="AC50" i="1"/>
  <c r="AA47" i="1"/>
  <c r="AE43" i="1"/>
  <c r="AD40" i="1"/>
  <c r="AC37" i="1"/>
  <c r="AB34" i="1"/>
  <c r="AA31" i="1"/>
  <c r="AE27" i="1"/>
  <c r="AD24" i="1"/>
  <c r="AC21" i="1"/>
  <c r="AB18" i="1"/>
  <c r="AA15" i="1"/>
  <c r="AC98" i="1"/>
  <c r="AJ98" i="1" s="1"/>
  <c r="AK98" i="1" s="1"/>
  <c r="AB95" i="1"/>
  <c r="AA92" i="1"/>
  <c r="AE88" i="1"/>
  <c r="AD85" i="1"/>
  <c r="AL85" i="1" s="1"/>
  <c r="AC82" i="1"/>
  <c r="AB79" i="1"/>
  <c r="AA76" i="1"/>
  <c r="AE72" i="1"/>
  <c r="AD69" i="1"/>
  <c r="AL69" i="1" s="1"/>
  <c r="AC66" i="1"/>
  <c r="AB63" i="1"/>
  <c r="AA60" i="1"/>
  <c r="AE56" i="1"/>
  <c r="AD53" i="1"/>
  <c r="AL53" i="1" s="1"/>
  <c r="AA50" i="1"/>
  <c r="AE46" i="1"/>
  <c r="AD43" i="1"/>
  <c r="AC40" i="1"/>
  <c r="AB37" i="1"/>
  <c r="AA34" i="1"/>
  <c r="AE30" i="1"/>
  <c r="AD27" i="1"/>
  <c r="AC24" i="1"/>
  <c r="AB21" i="1"/>
  <c r="AA18" i="1"/>
  <c r="AE14" i="1"/>
  <c r="AB98" i="1"/>
  <c r="AA95" i="1"/>
  <c r="AE91" i="1"/>
  <c r="AD88" i="1"/>
  <c r="AL88" i="1" s="1"/>
  <c r="AC85" i="1"/>
  <c r="AB82" i="1"/>
  <c r="AA79" i="1"/>
  <c r="AE75" i="1"/>
  <c r="AD72" i="1"/>
  <c r="AL72" i="1" s="1"/>
  <c r="AC69" i="1"/>
  <c r="AB66" i="1"/>
  <c r="AA63" i="1"/>
  <c r="AE59" i="1"/>
  <c r="AD56" i="1"/>
  <c r="AL56" i="1" s="1"/>
  <c r="AC53" i="1"/>
  <c r="AE49" i="1"/>
  <c r="AD46" i="1"/>
  <c r="AC43" i="1"/>
  <c r="AB40" i="1"/>
  <c r="AA37" i="1"/>
  <c r="AE33" i="1"/>
  <c r="AD30" i="1"/>
  <c r="AC27" i="1"/>
  <c r="AB24" i="1"/>
  <c r="AA21" i="1"/>
  <c r="AE17" i="1"/>
  <c r="AD14" i="1"/>
  <c r="AD92" i="1"/>
  <c r="AL92" i="1" s="1"/>
  <c r="AE79" i="1"/>
  <c r="AB70" i="1"/>
  <c r="AB54" i="1"/>
  <c r="AA98" i="1"/>
  <c r="AE94" i="1"/>
  <c r="AD91" i="1"/>
  <c r="AL91" i="1" s="1"/>
  <c r="AC88" i="1"/>
  <c r="AB85" i="1"/>
  <c r="AA82" i="1"/>
  <c r="AE78" i="1"/>
  <c r="AD75" i="1"/>
  <c r="AL75" i="1" s="1"/>
  <c r="AC72" i="1"/>
  <c r="AB69" i="1"/>
  <c r="AA66" i="1"/>
  <c r="AE62" i="1"/>
  <c r="AD59" i="1"/>
  <c r="AL59" i="1" s="1"/>
  <c r="AC56" i="1"/>
  <c r="AB53" i="1"/>
  <c r="AD49" i="1"/>
  <c r="AL49" i="1" s="1"/>
  <c r="AC46" i="1"/>
  <c r="AB43" i="1"/>
  <c r="AA40" i="1"/>
  <c r="AE36" i="1"/>
  <c r="AD33" i="1"/>
  <c r="AC30" i="1"/>
  <c r="AB27" i="1"/>
  <c r="AA24" i="1"/>
  <c r="AE20" i="1"/>
  <c r="AD17" i="1"/>
  <c r="AC14" i="1"/>
  <c r="AE97" i="1"/>
  <c r="AD94" i="1"/>
  <c r="AL94" i="1" s="1"/>
  <c r="AC91" i="1"/>
  <c r="AJ91" i="1" s="1"/>
  <c r="AK91" i="1" s="1"/>
  <c r="AB88" i="1"/>
  <c r="AA85" i="1"/>
  <c r="AE81" i="1"/>
  <c r="AD78" i="1"/>
  <c r="AL78" i="1" s="1"/>
  <c r="AC75" i="1"/>
  <c r="AB72" i="1"/>
  <c r="AA69" i="1"/>
  <c r="AE65" i="1"/>
  <c r="AD62" i="1"/>
  <c r="AL62" i="1" s="1"/>
  <c r="AC59" i="1"/>
  <c r="AB56" i="1"/>
  <c r="AA53" i="1"/>
  <c r="AC49" i="1"/>
  <c r="AB46" i="1"/>
  <c r="AA43" i="1"/>
  <c r="AE39" i="1"/>
  <c r="AD36" i="1"/>
  <c r="AC33" i="1"/>
  <c r="AB30" i="1"/>
  <c r="AA27" i="1"/>
  <c r="AE23" i="1"/>
  <c r="AD20" i="1"/>
  <c r="AC17" i="1"/>
  <c r="AB14" i="1"/>
  <c r="AA9" i="1"/>
  <c r="AA10" i="1"/>
  <c r="AE8" i="1"/>
  <c r="AD12" i="1"/>
  <c r="AE9" i="1"/>
  <c r="AC9" i="1"/>
  <c r="AA7" i="1"/>
  <c r="AB12" i="1"/>
  <c r="AD9" i="1"/>
  <c r="AA8" i="1"/>
  <c r="AB9" i="1"/>
  <c r="AE12" i="1"/>
  <c r="AC12" i="1"/>
  <c r="AC8" i="1"/>
  <c r="AB8" i="1"/>
  <c r="AE7" i="1"/>
  <c r="AD7" i="1"/>
  <c r="AC7" i="1"/>
  <c r="AB7" i="1"/>
  <c r="AE6" i="1"/>
  <c r="AD10" i="1"/>
  <c r="AA12" i="1"/>
  <c r="AC10" i="1"/>
  <c r="AC6" i="1"/>
  <c r="AD8" i="1"/>
  <c r="AE11" i="1"/>
  <c r="AD11" i="1"/>
  <c r="AC11" i="1"/>
  <c r="AB11" i="1"/>
  <c r="AE10" i="1"/>
  <c r="AA6" i="1"/>
  <c r="AD6" i="1"/>
  <c r="AA11" i="1"/>
  <c r="AB10" i="1"/>
  <c r="AB6" i="1"/>
  <c r="C9" i="1"/>
  <c r="AO59" i="1" l="1"/>
  <c r="AO40" i="1"/>
  <c r="AO92" i="1"/>
  <c r="AO57" i="1"/>
  <c r="AO23" i="1"/>
  <c r="C30" i="1"/>
  <c r="AO9" i="1"/>
  <c r="AO6" i="1"/>
  <c r="AO20" i="1"/>
  <c r="AO7" i="1"/>
  <c r="AM81" i="1"/>
  <c r="AM54" i="1"/>
  <c r="AM99" i="1"/>
  <c r="AM66" i="1"/>
  <c r="AM64" i="1"/>
  <c r="D30" i="1" s="1"/>
  <c r="AM58" i="1"/>
  <c r="AM62" i="1"/>
  <c r="AM49" i="1"/>
  <c r="AM84" i="1"/>
  <c r="AM96" i="1"/>
  <c r="AM61" i="1"/>
  <c r="AM82" i="1"/>
  <c r="AM97" i="1"/>
  <c r="AM93" i="1"/>
  <c r="AM90" i="1"/>
  <c r="AM53" i="1"/>
  <c r="AM57" i="1"/>
  <c r="AM98" i="1"/>
  <c r="AM77" i="1"/>
  <c r="AM80" i="1"/>
  <c r="AM52" i="1"/>
  <c r="AM70" i="1"/>
  <c r="AM60" i="1"/>
  <c r="AM88" i="1"/>
  <c r="AM71" i="1"/>
  <c r="AM79" i="1"/>
  <c r="AM55" i="1"/>
  <c r="AM72" i="1"/>
  <c r="AM95" i="1"/>
  <c r="AM76" i="1"/>
  <c r="AM56" i="1"/>
  <c r="AM83" i="1"/>
  <c r="AM87" i="1"/>
  <c r="AM63" i="1"/>
  <c r="AM74" i="1"/>
  <c r="AM69" i="1"/>
  <c r="AM85" i="1"/>
  <c r="AM94" i="1"/>
  <c r="AM91" i="1"/>
  <c r="AM92" i="1"/>
  <c r="AM86" i="1"/>
  <c r="AM59" i="1"/>
  <c r="AM67" i="1"/>
  <c r="AM75" i="1"/>
  <c r="AM89" i="1"/>
  <c r="AM65" i="1"/>
  <c r="AM68" i="1"/>
  <c r="AM78" i="1"/>
  <c r="AM73" i="1"/>
  <c r="AL33" i="1"/>
  <c r="AM33" i="1" s="1"/>
  <c r="AL24" i="1"/>
  <c r="AM24" i="1" s="1"/>
  <c r="AH61" i="1"/>
  <c r="AI61" i="1" s="1"/>
  <c r="AH54" i="1"/>
  <c r="AI54" i="1" s="1"/>
  <c r="AH34" i="1"/>
  <c r="AI34" i="1" s="1"/>
  <c r="AH19" i="1"/>
  <c r="AI19" i="1" s="1"/>
  <c r="AL38" i="1"/>
  <c r="AM38" i="1" s="1"/>
  <c r="AH90" i="1"/>
  <c r="AI90" i="1" s="1"/>
  <c r="AH26" i="1"/>
  <c r="AI26" i="1" s="1"/>
  <c r="AH68" i="1"/>
  <c r="AI68" i="1" s="1"/>
  <c r="AH40" i="1"/>
  <c r="AI40" i="1" s="1"/>
  <c r="AH42" i="1"/>
  <c r="AI42" i="1" s="1"/>
  <c r="AH20" i="1"/>
  <c r="AI20" i="1" s="1"/>
  <c r="AL8" i="1"/>
  <c r="AM8" i="1" s="1"/>
  <c r="AH53" i="1"/>
  <c r="AI53" i="1" s="1"/>
  <c r="AH70" i="1"/>
  <c r="AI70" i="1" s="1"/>
  <c r="AH21" i="1"/>
  <c r="AI21" i="1" s="1"/>
  <c r="AL37" i="1"/>
  <c r="AM37" i="1" s="1"/>
  <c r="AH89" i="1"/>
  <c r="AI89" i="1" s="1"/>
  <c r="AH13" i="1"/>
  <c r="AI13" i="1" s="1"/>
  <c r="AH17" i="1"/>
  <c r="AI17" i="1" s="1"/>
  <c r="AH84" i="1"/>
  <c r="AI84" i="1" s="1"/>
  <c r="AL21" i="1"/>
  <c r="AM21" i="1" s="1"/>
  <c r="AL44" i="1"/>
  <c r="AM44" i="1" s="1"/>
  <c r="AL11" i="1"/>
  <c r="AM11" i="1" s="1"/>
  <c r="AH31" i="1"/>
  <c r="AI31" i="1" s="1"/>
  <c r="AH83" i="1"/>
  <c r="AI83" i="1"/>
  <c r="AH44" i="1"/>
  <c r="AI44" i="1" s="1"/>
  <c r="AH41" i="1"/>
  <c r="AI41" i="1" s="1"/>
  <c r="AL25" i="1"/>
  <c r="AM25" i="1" s="1"/>
  <c r="AH77" i="1"/>
  <c r="AI77" i="1" s="1"/>
  <c r="AL32" i="1"/>
  <c r="AM32" i="1" s="1"/>
  <c r="AL26" i="1"/>
  <c r="AM26" i="1" s="1"/>
  <c r="AH75" i="1"/>
  <c r="AI75" i="1" s="1"/>
  <c r="AH43" i="1"/>
  <c r="AI43" i="1" s="1"/>
  <c r="AH48" i="1"/>
  <c r="AI48" i="1" s="1"/>
  <c r="AL19" i="1"/>
  <c r="AM19" i="1" s="1"/>
  <c r="AH71" i="1"/>
  <c r="AI71" i="1" s="1"/>
  <c r="AL23" i="1"/>
  <c r="AM23" i="1" s="1"/>
  <c r="AL45" i="1"/>
  <c r="AM45" i="1" s="1"/>
  <c r="AH33" i="1"/>
  <c r="AI33" i="1" s="1"/>
  <c r="AH98" i="1"/>
  <c r="AI98" i="1" s="1"/>
  <c r="AH88" i="1"/>
  <c r="AI88" i="1" s="1"/>
  <c r="AH66" i="1"/>
  <c r="AI66" i="1" s="1"/>
  <c r="AH64" i="1"/>
  <c r="AL13" i="1"/>
  <c r="AM13" i="1" s="1"/>
  <c r="AL39" i="1"/>
  <c r="AM39" i="1" s="1"/>
  <c r="AH59" i="1"/>
  <c r="AI59" i="1" s="1"/>
  <c r="AH62" i="1"/>
  <c r="AI62" i="1" s="1"/>
  <c r="AH36" i="1"/>
  <c r="AI36" i="1" s="1"/>
  <c r="AH18" i="1"/>
  <c r="AI18" i="1" s="1"/>
  <c r="AH45" i="1"/>
  <c r="AI45" i="1" s="1"/>
  <c r="AH28" i="1"/>
  <c r="AI28" i="1" s="1"/>
  <c r="AH81" i="1"/>
  <c r="AI81" i="1" s="1"/>
  <c r="AL46" i="1"/>
  <c r="AM46" i="1" s="1"/>
  <c r="AH96" i="1"/>
  <c r="AI96" i="1" s="1"/>
  <c r="AL40" i="1"/>
  <c r="AM40" i="1" s="1"/>
  <c r="AH35" i="1"/>
  <c r="AI35" i="1" s="1"/>
  <c r="AH97" i="1"/>
  <c r="AI97" i="1" s="1"/>
  <c r="AH94" i="1"/>
  <c r="AI94" i="1" s="1"/>
  <c r="AH72" i="1"/>
  <c r="AI72" i="1" s="1"/>
  <c r="AH76" i="1"/>
  <c r="AI76" i="1" s="1"/>
  <c r="AL27" i="1"/>
  <c r="AM27" i="1" s="1"/>
  <c r="AL47" i="1"/>
  <c r="AM47" i="1" s="1"/>
  <c r="AL12" i="1"/>
  <c r="AM12" i="1" s="1"/>
  <c r="AH69" i="1"/>
  <c r="AI69" i="1" s="1"/>
  <c r="AH29" i="1"/>
  <c r="AI29" i="1" s="1"/>
  <c r="AL20" i="1"/>
  <c r="AM20" i="1" s="1"/>
  <c r="AH73" i="1"/>
  <c r="AI73" i="1" s="1"/>
  <c r="AL16" i="1"/>
  <c r="AM16" i="1" s="1"/>
  <c r="AL34" i="1"/>
  <c r="AM34" i="1" s="1"/>
  <c r="AH47" i="1"/>
  <c r="AI47" i="1"/>
  <c r="AH37" i="1"/>
  <c r="AI37" i="1" s="1"/>
  <c r="AH24" i="1"/>
  <c r="AI24" i="1" s="1"/>
  <c r="AH86" i="1"/>
  <c r="AI86" i="1" s="1"/>
  <c r="AH22" i="1"/>
  <c r="AI22" i="1" s="1"/>
  <c r="AL41" i="1"/>
  <c r="AM41" i="1" s="1"/>
  <c r="AH93" i="1"/>
  <c r="AI93" i="1" s="1"/>
  <c r="AH23" i="1"/>
  <c r="AI23" i="1" s="1"/>
  <c r="AL42" i="1"/>
  <c r="AM42" i="1" s="1"/>
  <c r="AH78" i="1"/>
  <c r="AI78" i="1" s="1"/>
  <c r="AH85" i="1"/>
  <c r="AI85" i="1" s="1"/>
  <c r="AH74" i="1"/>
  <c r="AI74" i="1" s="1"/>
  <c r="AH39" i="1"/>
  <c r="AI39" i="1" s="1"/>
  <c r="AH11" i="1"/>
  <c r="AI11" i="1" s="1"/>
  <c r="AH25" i="1"/>
  <c r="AI25" i="1" s="1"/>
  <c r="AH55" i="1"/>
  <c r="AI55" i="1" s="1"/>
  <c r="AL36" i="1"/>
  <c r="AM36" i="1" s="1"/>
  <c r="AL14" i="1"/>
  <c r="AM14" i="1" s="1"/>
  <c r="AH51" i="1"/>
  <c r="AI51" i="1" s="1"/>
  <c r="AH58" i="1"/>
  <c r="AI58" i="1" s="1"/>
  <c r="AH56" i="1"/>
  <c r="AI56" i="1" s="1"/>
  <c r="AH10" i="1"/>
  <c r="AI10" i="1"/>
  <c r="AL43" i="1"/>
  <c r="AM43" i="1" s="1"/>
  <c r="AH87" i="1"/>
  <c r="AI87" i="1" s="1"/>
  <c r="AH91" i="1"/>
  <c r="AI91" i="1" s="1"/>
  <c r="AH8" i="1"/>
  <c r="AI8" i="1" s="1"/>
  <c r="AH38" i="1"/>
  <c r="AI38" i="1" s="1"/>
  <c r="AH63" i="1"/>
  <c r="AI63" i="1" s="1"/>
  <c r="AH30" i="1"/>
  <c r="AI30" i="1" s="1"/>
  <c r="AH12" i="1"/>
  <c r="AI12" i="1" s="1"/>
  <c r="AJ50" i="1"/>
  <c r="AK50" i="1" s="1"/>
  <c r="AL17" i="1"/>
  <c r="AM17" i="1" s="1"/>
  <c r="AH6" i="1"/>
  <c r="AI6" i="1" s="1"/>
  <c r="AH57" i="1"/>
  <c r="AI57" i="1" s="1"/>
  <c r="AH60" i="1"/>
  <c r="AI60" i="1" s="1"/>
  <c r="AJ99" i="1"/>
  <c r="AK99" i="1" s="1"/>
  <c r="AI99" i="1"/>
  <c r="AL35" i="1"/>
  <c r="AM35" i="1" s="1"/>
  <c r="AL28" i="1"/>
  <c r="AM28" i="1" s="1"/>
  <c r="AH16" i="1"/>
  <c r="AI16" i="1" s="1"/>
  <c r="AL29" i="1"/>
  <c r="AM29" i="1" s="1"/>
  <c r="AL22" i="1"/>
  <c r="AM22" i="1" s="1"/>
  <c r="AH32" i="1"/>
  <c r="AI32" i="1" s="1"/>
  <c r="AH9" i="1"/>
  <c r="AI9" i="1" s="1"/>
  <c r="AL31" i="1"/>
  <c r="AM31" i="1" s="1"/>
  <c r="AH52" i="1"/>
  <c r="AI52" i="1" s="1"/>
  <c r="AL9" i="1"/>
  <c r="AM9" i="1" s="1"/>
  <c r="AH92" i="1"/>
  <c r="AI92" i="1" s="1"/>
  <c r="AH79" i="1"/>
  <c r="AI79" i="1" s="1"/>
  <c r="AH46" i="1"/>
  <c r="AI46" i="1" s="1"/>
  <c r="AL10" i="1"/>
  <c r="AM10" i="1" s="1"/>
  <c r="AH7" i="1"/>
  <c r="AI7" i="1" s="1"/>
  <c r="AH95" i="1"/>
  <c r="AI95" i="1"/>
  <c r="AH27" i="1"/>
  <c r="AI27" i="1" s="1"/>
  <c r="AL30" i="1"/>
  <c r="AM30" i="1" s="1"/>
  <c r="AH82" i="1"/>
  <c r="AI82" i="1" s="1"/>
  <c r="AH80" i="1"/>
  <c r="AI80" i="1" s="1"/>
  <c r="AL6" i="1"/>
  <c r="AH14" i="1"/>
  <c r="AI14" i="1" s="1"/>
  <c r="AH15" i="1"/>
  <c r="AI15" i="1" s="1"/>
  <c r="AL18" i="1"/>
  <c r="AM18" i="1" s="1"/>
  <c r="AL15" i="1"/>
  <c r="AM15" i="1" s="1"/>
  <c r="AH67" i="1"/>
  <c r="AI67" i="1" s="1"/>
  <c r="AL48" i="1"/>
  <c r="AM48" i="1" s="1"/>
  <c r="AH65" i="1"/>
  <c r="AI65" i="1" s="1"/>
  <c r="AH49" i="1"/>
  <c r="AI49" i="1" s="1"/>
  <c r="AJ64" i="1"/>
  <c r="AN49" i="1"/>
  <c r="AO49" i="1" s="1"/>
  <c r="AN14" i="1"/>
  <c r="AO14" i="1" s="1"/>
  <c r="AJ66" i="1"/>
  <c r="AK66" i="1" s="1"/>
  <c r="AF31" i="1"/>
  <c r="AG31" i="1" s="1"/>
  <c r="AN82" i="1"/>
  <c r="AO82" i="1" s="1"/>
  <c r="AN47" i="1"/>
  <c r="AO47" i="1" s="1"/>
  <c r="AF16" i="1"/>
  <c r="AG16" i="1" s="1"/>
  <c r="AJ35" i="1"/>
  <c r="AK35" i="1" s="1"/>
  <c r="AF87" i="1"/>
  <c r="AG87" i="1" s="1"/>
  <c r="AJ58" i="1"/>
  <c r="AK58" i="1" s="1"/>
  <c r="AF23" i="1"/>
  <c r="AG23" i="1" s="1"/>
  <c r="AJ55" i="1"/>
  <c r="AK55" i="1" s="1"/>
  <c r="AJ45" i="1"/>
  <c r="AK45" i="1" s="1"/>
  <c r="AN19" i="1"/>
  <c r="AO19" i="1" s="1"/>
  <c r="AN11" i="1"/>
  <c r="AO11" i="1" s="1"/>
  <c r="AN85" i="1"/>
  <c r="AO85" i="1" s="1"/>
  <c r="AJ34" i="1"/>
  <c r="AK34" i="1" s="1"/>
  <c r="AF86" i="1"/>
  <c r="AG86" i="1" s="1"/>
  <c r="AN37" i="1"/>
  <c r="AO37" i="1" s="1"/>
  <c r="AN34" i="1"/>
  <c r="AO34" i="1" s="1"/>
  <c r="AJ86" i="1"/>
  <c r="AK86" i="1" s="1"/>
  <c r="AJ51" i="1"/>
  <c r="AK51" i="1" s="1"/>
  <c r="AN70" i="1"/>
  <c r="AO70" i="1" s="1"/>
  <c r="AF14" i="1"/>
  <c r="AG14" i="1" s="1"/>
  <c r="AN68" i="1"/>
  <c r="AO68" i="1" s="1"/>
  <c r="AN99" i="1"/>
  <c r="AO99" i="1" s="1"/>
  <c r="AF30" i="1"/>
  <c r="AG30" i="1" s="1"/>
  <c r="AN12" i="1"/>
  <c r="AO12" i="1" s="1"/>
  <c r="AN72" i="1"/>
  <c r="AO72" i="1" s="1"/>
  <c r="AJ37" i="1"/>
  <c r="AK37" i="1" s="1"/>
  <c r="AF89" i="1"/>
  <c r="AG89" i="1" s="1"/>
  <c r="AF41" i="1"/>
  <c r="AG41" i="1" s="1"/>
  <c r="AF38" i="1"/>
  <c r="AG38" i="1" s="1"/>
  <c r="AJ22" i="1"/>
  <c r="AK22" i="1" s="1"/>
  <c r="AF74" i="1"/>
  <c r="AG74" i="1" s="1"/>
  <c r="AN41" i="1"/>
  <c r="AO41" i="1" s="1"/>
  <c r="AN64" i="1"/>
  <c r="AO64" i="1" s="1"/>
  <c r="D31" i="1" s="1"/>
  <c r="AJ29" i="1"/>
  <c r="AK29" i="1" s="1"/>
  <c r="AF81" i="1"/>
  <c r="AG81" i="1" s="1"/>
  <c r="AF65" i="1"/>
  <c r="AG65" i="1" s="1"/>
  <c r="AF33" i="1"/>
  <c r="AG33" i="1" s="1"/>
  <c r="AN39" i="1"/>
  <c r="AO39" i="1" s="1"/>
  <c r="AF76" i="1"/>
  <c r="AG76" i="1" s="1"/>
  <c r="AN40" i="1"/>
  <c r="AN92" i="1"/>
  <c r="AN57" i="1"/>
  <c r="AF45" i="1"/>
  <c r="AG45" i="1" s="1"/>
  <c r="AJ16" i="1"/>
  <c r="AK16" i="1" s="1"/>
  <c r="AF68" i="1"/>
  <c r="AG68" i="1" s="1"/>
  <c r="AJ20" i="1"/>
  <c r="AK20" i="1" s="1"/>
  <c r="AJ93" i="1"/>
  <c r="AK93" i="1" s="1"/>
  <c r="AJ71" i="1"/>
  <c r="AK71" i="1" s="1"/>
  <c r="AJ65" i="1"/>
  <c r="AK65" i="1" s="1"/>
  <c r="AJ31" i="1"/>
  <c r="AK31" i="1" s="1"/>
  <c r="AF17" i="1"/>
  <c r="AG17" i="1" s="1"/>
  <c r="AF44" i="1"/>
  <c r="AG44" i="1" s="1"/>
  <c r="AJ47" i="1"/>
  <c r="AK47" i="1" s="1"/>
  <c r="AJ44" i="1"/>
  <c r="AK44" i="1" s="1"/>
  <c r="AF96" i="1"/>
  <c r="AG96" i="1" s="1"/>
  <c r="AF61" i="1"/>
  <c r="AG61" i="1" s="1"/>
  <c r="AN28" i="1"/>
  <c r="AO28" i="1" s="1"/>
  <c r="AJ80" i="1"/>
  <c r="AK80" i="1" s="1"/>
  <c r="AN35" i="1"/>
  <c r="AO35" i="1" s="1"/>
  <c r="AF94" i="1"/>
  <c r="AG94" i="1" s="1"/>
  <c r="AF91" i="1"/>
  <c r="AG91" i="1" s="1"/>
  <c r="AN98" i="1"/>
  <c r="AO98" i="1" s="1"/>
  <c r="AF32" i="1"/>
  <c r="AG32" i="1" s="1"/>
  <c r="AN51" i="1"/>
  <c r="AO51" i="1" s="1"/>
  <c r="AN22" i="1"/>
  <c r="AO22" i="1" s="1"/>
  <c r="AJ74" i="1"/>
  <c r="AK74" i="1" s="1"/>
  <c r="AN42" i="1"/>
  <c r="AO42" i="1" s="1"/>
  <c r="AN58" i="1"/>
  <c r="AO58" i="1" s="1"/>
  <c r="AJ11" i="1"/>
  <c r="AK11" i="1" s="1"/>
  <c r="AN83" i="1"/>
  <c r="AO83" i="1" s="1"/>
  <c r="AF98" i="1"/>
  <c r="AG98" i="1" s="1"/>
  <c r="AN59" i="1"/>
  <c r="AN9" i="1"/>
  <c r="AJ57" i="1"/>
  <c r="AK57" i="1" s="1"/>
  <c r="AN50" i="1"/>
  <c r="AO50" i="1" s="1"/>
  <c r="AN63" i="1"/>
  <c r="AO63" i="1" s="1"/>
  <c r="AN15" i="1"/>
  <c r="AO15" i="1" s="1"/>
  <c r="AJ67" i="1"/>
  <c r="AK67" i="1" s="1"/>
  <c r="AN86" i="1"/>
  <c r="AO86" i="1" s="1"/>
  <c r="AF55" i="1"/>
  <c r="AG55" i="1" s="1"/>
  <c r="AF26" i="1"/>
  <c r="AG26" i="1" s="1"/>
  <c r="AN16" i="1"/>
  <c r="AO16" i="1" s="1"/>
  <c r="AN52" i="1"/>
  <c r="AO52" i="1" s="1"/>
  <c r="AJ94" i="1"/>
  <c r="AK94" i="1" s="1"/>
  <c r="AF75" i="1"/>
  <c r="AG75" i="1" s="1"/>
  <c r="AJ36" i="1"/>
  <c r="AK36" i="1" s="1"/>
  <c r="AN81" i="1"/>
  <c r="AO81" i="1" s="1"/>
  <c r="AJ33" i="1"/>
  <c r="AK33" i="1" s="1"/>
  <c r="AF18" i="1"/>
  <c r="AG18" i="1" s="1"/>
  <c r="AN97" i="1"/>
  <c r="AO97" i="1" s="1"/>
  <c r="AF51" i="1"/>
  <c r="AG51" i="1" s="1"/>
  <c r="AJ73" i="1"/>
  <c r="AK73" i="1" s="1"/>
  <c r="AF67" i="1"/>
  <c r="AG67" i="1" s="1"/>
  <c r="AJ54" i="1"/>
  <c r="AK54" i="1" s="1"/>
  <c r="AF19" i="1"/>
  <c r="AG19" i="1" s="1"/>
  <c r="AJ38" i="1"/>
  <c r="AK38" i="1" s="1"/>
  <c r="AF90" i="1"/>
  <c r="AG90" i="1" s="1"/>
  <c r="AN80" i="1"/>
  <c r="AO80" i="1" s="1"/>
  <c r="AF20" i="1"/>
  <c r="AG20" i="1" s="1"/>
  <c r="AN61" i="1"/>
  <c r="AO61" i="1" s="1"/>
  <c r="AF78" i="1"/>
  <c r="AG78" i="1" s="1"/>
  <c r="AN90" i="1"/>
  <c r="AO90" i="1" s="1"/>
  <c r="AJ9" i="1"/>
  <c r="AK9" i="1" s="1"/>
  <c r="AF47" i="1"/>
  <c r="AG47" i="1" s="1"/>
  <c r="AN20" i="1"/>
  <c r="AF92" i="1"/>
  <c r="AG92" i="1" s="1"/>
  <c r="AF83" i="1"/>
  <c r="AG83" i="1" s="1"/>
  <c r="AN73" i="1"/>
  <c r="AO73" i="1" s="1"/>
  <c r="AJ61" i="1"/>
  <c r="AK61" i="1" s="1"/>
  <c r="AJ32" i="1"/>
  <c r="AK32" i="1" s="1"/>
  <c r="AF84" i="1"/>
  <c r="AG84" i="1" s="1"/>
  <c r="AJ78" i="1"/>
  <c r="AK78" i="1" s="1"/>
  <c r="AF46" i="1"/>
  <c r="AG46" i="1" s="1"/>
  <c r="AF39" i="1"/>
  <c r="AG39" i="1" s="1"/>
  <c r="AN94" i="1"/>
  <c r="AO94" i="1" s="1"/>
  <c r="AJ28" i="1"/>
  <c r="AK28" i="1" s="1"/>
  <c r="AJ6" i="1"/>
  <c r="AF57" i="1"/>
  <c r="AG57" i="1" s="1"/>
  <c r="AJ27" i="1"/>
  <c r="AK27" i="1" s="1"/>
  <c r="AF79" i="1"/>
  <c r="AG79" i="1" s="1"/>
  <c r="AF99" i="1"/>
  <c r="AJ60" i="1"/>
  <c r="AK60" i="1" s="1"/>
  <c r="AN95" i="1"/>
  <c r="AO95" i="1" s="1"/>
  <c r="AN60" i="1"/>
  <c r="AO60" i="1" s="1"/>
  <c r="AJ25" i="1"/>
  <c r="AK25" i="1" s="1"/>
  <c r="AF77" i="1"/>
  <c r="AG77" i="1" s="1"/>
  <c r="AN44" i="1"/>
  <c r="AO44" i="1" s="1"/>
  <c r="AF13" i="1"/>
  <c r="AG13" i="1" s="1"/>
  <c r="AJ26" i="1"/>
  <c r="AK26" i="1" s="1"/>
  <c r="AJ87" i="1"/>
  <c r="AK87" i="1" s="1"/>
  <c r="AN55" i="1"/>
  <c r="AO55" i="1" s="1"/>
  <c r="AN26" i="1"/>
  <c r="AO26" i="1" s="1"/>
  <c r="AJ52" i="1"/>
  <c r="AK52" i="1" s="1"/>
  <c r="AJ39" i="1"/>
  <c r="AK39" i="1" s="1"/>
  <c r="AF80" i="1"/>
  <c r="AG80" i="1" s="1"/>
  <c r="AN29" i="1"/>
  <c r="AO29" i="1" s="1"/>
  <c r="AJ46" i="1"/>
  <c r="AK46" i="1" s="1"/>
  <c r="AF8" i="1"/>
  <c r="AG8" i="1" s="1"/>
  <c r="AF85" i="1"/>
  <c r="AG85" i="1" s="1"/>
  <c r="AJ53" i="1"/>
  <c r="AK53" i="1" s="1"/>
  <c r="AJ82" i="1"/>
  <c r="AK82" i="1" s="1"/>
  <c r="AJ14" i="1"/>
  <c r="AK14" i="1" s="1"/>
  <c r="AF54" i="1"/>
  <c r="AG54" i="1" s="1"/>
  <c r="AJ72" i="1"/>
  <c r="AK72" i="1" s="1"/>
  <c r="AJ7" i="1"/>
  <c r="AF10" i="1"/>
  <c r="AG10" i="1" s="1"/>
  <c r="AJ59" i="1"/>
  <c r="AK59" i="1" s="1"/>
  <c r="AF24" i="1"/>
  <c r="AG24" i="1" s="1"/>
  <c r="AF11" i="1"/>
  <c r="AG11" i="1" s="1"/>
  <c r="AL7" i="1"/>
  <c r="AM7" i="1" s="1"/>
  <c r="AF9" i="1"/>
  <c r="AG9" i="1" s="1"/>
  <c r="AN78" i="1"/>
  <c r="AO78" i="1" s="1"/>
  <c r="AN46" i="1"/>
  <c r="AO46" i="1" s="1"/>
  <c r="AJ63" i="1"/>
  <c r="AK63" i="1" s="1"/>
  <c r="AJ96" i="1"/>
  <c r="AK96" i="1" s="1"/>
  <c r="AJ15" i="1"/>
  <c r="AK15" i="1" s="1"/>
  <c r="AF64" i="1"/>
  <c r="AF48" i="1"/>
  <c r="AG48" i="1" s="1"/>
  <c r="AN67" i="1"/>
  <c r="AO67" i="1" s="1"/>
  <c r="AN38" i="1"/>
  <c r="AO38" i="1" s="1"/>
  <c r="AJ81" i="1"/>
  <c r="AK81" i="1" s="1"/>
  <c r="AF62" i="1"/>
  <c r="AG62" i="1" s="1"/>
  <c r="AJ84" i="1"/>
  <c r="AK84" i="1" s="1"/>
  <c r="AN45" i="1"/>
  <c r="AO45" i="1" s="1"/>
  <c r="AJ62" i="1"/>
  <c r="AK62" i="1" s="1"/>
  <c r="AF49" i="1"/>
  <c r="AG49" i="1" s="1"/>
  <c r="AJ79" i="1"/>
  <c r="AK79" i="1" s="1"/>
  <c r="AJ23" i="1"/>
  <c r="AK23" i="1" s="1"/>
  <c r="AJ56" i="1"/>
  <c r="AK56" i="1" s="1"/>
  <c r="AJ10" i="1"/>
  <c r="AK10" i="1" s="1"/>
  <c r="AF66" i="1"/>
  <c r="AG66" i="1" s="1"/>
  <c r="AJ69" i="1"/>
  <c r="AK69" i="1" s="1"/>
  <c r="AN6" i="1"/>
  <c r="AF82" i="1"/>
  <c r="AG82" i="1" s="1"/>
  <c r="AN66" i="1"/>
  <c r="AO66" i="1" s="1"/>
  <c r="AN31" i="1"/>
  <c r="AO31" i="1" s="1"/>
  <c r="AJ83" i="1"/>
  <c r="AK83" i="1" s="1"/>
  <c r="AJ19" i="1"/>
  <c r="AK19" i="1" s="1"/>
  <c r="AF71" i="1"/>
  <c r="AG71" i="1" s="1"/>
  <c r="AF42" i="1"/>
  <c r="AG42" i="1" s="1"/>
  <c r="AN32" i="1"/>
  <c r="AO32" i="1" s="1"/>
  <c r="AF56" i="1"/>
  <c r="AG56" i="1" s="1"/>
  <c r="AJ42" i="1"/>
  <c r="AK42" i="1" s="1"/>
  <c r="AF59" i="1"/>
  <c r="AG59" i="1" s="1"/>
  <c r="AN17" i="1"/>
  <c r="AO17" i="1" s="1"/>
  <c r="AF34" i="1"/>
  <c r="AG34" i="1" s="1"/>
  <c r="AF53" i="1"/>
  <c r="AG53" i="1" s="1"/>
  <c r="AJ40" i="1"/>
  <c r="AK40" i="1" s="1"/>
  <c r="AN65" i="1"/>
  <c r="AO65" i="1" s="1"/>
  <c r="AN33" i="1"/>
  <c r="AO33" i="1" s="1"/>
  <c r="AF50" i="1"/>
  <c r="AG50" i="1" s="1"/>
  <c r="AF6" i="1"/>
  <c r="AJ17" i="1"/>
  <c r="AK17" i="1" s="1"/>
  <c r="AF69" i="1"/>
  <c r="AG69" i="1" s="1"/>
  <c r="AN69" i="1"/>
  <c r="AO69" i="1" s="1"/>
  <c r="AJ18" i="1"/>
  <c r="AK18" i="1" s="1"/>
  <c r="AF70" i="1"/>
  <c r="AG70" i="1" s="1"/>
  <c r="AN21" i="1"/>
  <c r="AO21" i="1" s="1"/>
  <c r="AN18" i="1"/>
  <c r="AO18" i="1" s="1"/>
  <c r="AJ70" i="1"/>
  <c r="AK70" i="1" s="1"/>
  <c r="AF35" i="1"/>
  <c r="AG35" i="1" s="1"/>
  <c r="AN54" i="1"/>
  <c r="AO54" i="1" s="1"/>
  <c r="AN96" i="1"/>
  <c r="AO96" i="1" s="1"/>
  <c r="AF36" i="1"/>
  <c r="AG36" i="1" s="1"/>
  <c r="AN74" i="1"/>
  <c r="AO74" i="1" s="1"/>
  <c r="AN71" i="1"/>
  <c r="AO71" i="1" s="1"/>
  <c r="AF27" i="1"/>
  <c r="AG27" i="1" s="1"/>
  <c r="AN27" i="1"/>
  <c r="AO27" i="1" s="1"/>
  <c r="AN87" i="1"/>
  <c r="AO87" i="1" s="1"/>
  <c r="AJ24" i="1"/>
  <c r="AK24" i="1" s="1"/>
  <c r="AF7" i="1"/>
  <c r="AG7" i="1" s="1"/>
  <c r="AF63" i="1"/>
  <c r="AG63" i="1" s="1"/>
  <c r="AF12" i="1"/>
  <c r="AG12" i="1" s="1"/>
  <c r="AN88" i="1"/>
  <c r="AO88" i="1" s="1"/>
  <c r="AF37" i="1"/>
  <c r="AG37" i="1" s="1"/>
  <c r="AN10" i="1"/>
  <c r="AO10" i="1" s="1"/>
  <c r="AJ8" i="1"/>
  <c r="AK8" i="1" s="1"/>
  <c r="AN36" i="1"/>
  <c r="AO36" i="1" s="1"/>
  <c r="AJ88" i="1"/>
  <c r="AK88" i="1" s="1"/>
  <c r="AN91" i="1"/>
  <c r="AO91" i="1" s="1"/>
  <c r="AN56" i="1"/>
  <c r="AO56" i="1" s="1"/>
  <c r="AJ21" i="1"/>
  <c r="AK21" i="1" s="1"/>
  <c r="AF73" i="1"/>
  <c r="AG73" i="1" s="1"/>
  <c r="AF25" i="1"/>
  <c r="AG25" i="1" s="1"/>
  <c r="AF22" i="1"/>
  <c r="AG22" i="1" s="1"/>
  <c r="AN89" i="1"/>
  <c r="AO89" i="1" s="1"/>
  <c r="AF58" i="1"/>
  <c r="AG58" i="1" s="1"/>
  <c r="AN25" i="1"/>
  <c r="AO25" i="1" s="1"/>
  <c r="AJ77" i="1"/>
  <c r="AK77" i="1" s="1"/>
  <c r="AJ48" i="1"/>
  <c r="AK48" i="1" s="1"/>
  <c r="AJ13" i="1"/>
  <c r="AK13" i="1" s="1"/>
  <c r="AF72" i="1"/>
  <c r="AG72" i="1" s="1"/>
  <c r="AJ68" i="1"/>
  <c r="AK68" i="1" s="1"/>
  <c r="AN84" i="1"/>
  <c r="AO84" i="1" s="1"/>
  <c r="AF88" i="1"/>
  <c r="AG88" i="1" s="1"/>
  <c r="AF28" i="1"/>
  <c r="AG28" i="1" s="1"/>
  <c r="AN93" i="1"/>
  <c r="AO93" i="1" s="1"/>
  <c r="AN79" i="1"/>
  <c r="AO79" i="1" s="1"/>
  <c r="AF43" i="1"/>
  <c r="AG43" i="1" s="1"/>
  <c r="AN43" i="1"/>
  <c r="AO43" i="1" s="1"/>
  <c r="AN62" i="1"/>
  <c r="AO62" i="1" s="1"/>
  <c r="AN30" i="1"/>
  <c r="AO30" i="1" s="1"/>
  <c r="AJ49" i="1"/>
  <c r="AK49" i="1" s="1"/>
  <c r="AF21" i="1"/>
  <c r="AG21" i="1" s="1"/>
  <c r="AN53" i="1"/>
  <c r="AO53" i="1" s="1"/>
  <c r="AN8" i="1"/>
  <c r="AO8" i="1" s="1"/>
  <c r="AN75" i="1"/>
  <c r="AO75" i="1" s="1"/>
  <c r="AN7" i="1"/>
  <c r="AJ30" i="1"/>
  <c r="AK30" i="1" s="1"/>
  <c r="AJ85" i="1"/>
  <c r="AK85" i="1" s="1"/>
  <c r="AF15" i="1"/>
  <c r="AG15" i="1" s="1"/>
  <c r="AJ12" i="1"/>
  <c r="AK12" i="1" s="1"/>
  <c r="AN23" i="1"/>
  <c r="AJ75" i="1"/>
  <c r="AK75" i="1" s="1"/>
  <c r="AF40" i="1"/>
  <c r="AG40" i="1" s="1"/>
  <c r="AJ43" i="1"/>
  <c r="AK43" i="1" s="1"/>
  <c r="AF95" i="1"/>
  <c r="AG95" i="1" s="1"/>
  <c r="AF60" i="1"/>
  <c r="AG60" i="1" s="1"/>
  <c r="AN24" i="1"/>
  <c r="AO24" i="1" s="1"/>
  <c r="AJ76" i="1"/>
  <c r="AK76" i="1" s="1"/>
  <c r="AN76" i="1"/>
  <c r="AO76" i="1" s="1"/>
  <c r="AJ41" i="1"/>
  <c r="AK41" i="1" s="1"/>
  <c r="AF93" i="1"/>
  <c r="AG93" i="1" s="1"/>
  <c r="AF29" i="1"/>
  <c r="AG29" i="1" s="1"/>
  <c r="AF52" i="1"/>
  <c r="AG52" i="1" s="1"/>
  <c r="AN13" i="1"/>
  <c r="AO13" i="1" s="1"/>
  <c r="AN48" i="1"/>
  <c r="AO48" i="1" s="1"/>
  <c r="AF97" i="1"/>
  <c r="AG97" i="1" s="1"/>
  <c r="AN77" i="1"/>
  <c r="AO77" i="1" s="1"/>
  <c r="AK64" i="1" l="1"/>
  <c r="D29" i="1" s="1"/>
  <c r="C29" i="1"/>
  <c r="AG64" i="1"/>
  <c r="D27" i="1" s="1"/>
  <c r="E26" i="1"/>
  <c r="C27" i="1"/>
  <c r="AI64" i="1"/>
  <c r="D28" i="1" s="1"/>
  <c r="C28" i="1"/>
  <c r="C31" i="1"/>
  <c r="AM6" i="1"/>
  <c r="AK6" i="1"/>
  <c r="AK7" i="1"/>
  <c r="AG99" i="1"/>
  <c r="A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Anton Viola</author>
  </authors>
  <commentList>
    <comment ref="P50" authorId="0" shapeId="0" xr:uid="{C4678C74-E42D-ED46-9D38-B1CA6CBB507E}">
      <text>
        <r>
          <rPr>
            <b/>
            <sz val="10"/>
            <color rgb="FF000000"/>
            <rFont val="Tahoma"/>
            <family val="2"/>
          </rPr>
          <t>This was a partial transit!</t>
        </r>
        <r>
          <rPr>
            <sz val="10"/>
            <color rgb="FF000000"/>
            <rFont val="Tahoma"/>
            <family val="2"/>
          </rPr>
          <t xml:space="preserve">
</t>
        </r>
      </text>
    </comment>
  </commentList>
</comments>
</file>

<file path=xl/sharedStrings.xml><?xml version="1.0" encoding="utf-8"?>
<sst xmlns="http://schemas.openxmlformats.org/spreadsheetml/2006/main" count="170" uniqueCount="140">
  <si>
    <t>Sep.</t>
  </si>
  <si>
    <t>Series</t>
  </si>
  <si>
    <t>Date</t>
  </si>
  <si>
    <t>max</t>
  </si>
  <si>
    <t>Date, time, location</t>
  </si>
  <si>
    <t>Inputs</t>
  </si>
  <si>
    <t>Leap year?</t>
  </si>
  <si>
    <t>Day nr.</t>
  </si>
  <si>
    <t>Weekday</t>
  </si>
  <si>
    <t>JDE</t>
  </si>
  <si>
    <t>Location</t>
  </si>
  <si>
    <t>φ    (latitude)</t>
  </si>
  <si>
    <t>L     (longitude)</t>
  </si>
  <si>
    <t>-</t>
  </si>
  <si>
    <t>Locations</t>
  </si>
  <si>
    <t>Name</t>
  </si>
  <si>
    <t>φ (latitude)</t>
  </si>
  <si>
    <t>L (longitude)</t>
  </si>
  <si>
    <t>Lenk (CH)</t>
  </si>
  <si>
    <t>01.11.1605</t>
  </si>
  <si>
    <t>03.05.1615</t>
  </si>
  <si>
    <t>04.11.1618</t>
  </si>
  <si>
    <t>05.05.1628</t>
  </si>
  <si>
    <t>07.11.1631</t>
  </si>
  <si>
    <t>09.11.1644</t>
  </si>
  <si>
    <t>03.11.1651</t>
  </si>
  <si>
    <t>03.05.1661</t>
  </si>
  <si>
    <t>04.11.1664</t>
  </si>
  <si>
    <t>07.05.1674</t>
  </si>
  <si>
    <t>07.11.1677</t>
  </si>
  <si>
    <t>10.11.1690</t>
  </si>
  <si>
    <t>03.11.1697</t>
  </si>
  <si>
    <t>05.05.1707</t>
  </si>
  <si>
    <t>06.11.1710</t>
  </si>
  <si>
    <t>09.11.1723</t>
  </si>
  <si>
    <t>11.11.1736</t>
  </si>
  <si>
    <t>02.05.1740</t>
  </si>
  <si>
    <t>05.11.1743</t>
  </si>
  <si>
    <t>06.05.1753</t>
  </si>
  <si>
    <t>07.11.1756</t>
  </si>
  <si>
    <t>09.11.1769</t>
  </si>
  <si>
    <t>02.11.1776</t>
  </si>
  <si>
    <t>12.11.1782</t>
  </si>
  <si>
    <t>04.05.1786</t>
  </si>
  <si>
    <t>05.11.1789</t>
  </si>
  <si>
    <t>07.05.1799</t>
  </si>
  <si>
    <t>09.11.1802</t>
  </si>
  <si>
    <t>12.11.1815</t>
  </si>
  <si>
    <t>05.11.1822</t>
  </si>
  <si>
    <t>05.05.1832</t>
  </si>
  <si>
    <t>07.11.1835</t>
  </si>
  <si>
    <t>08.05.1845</t>
  </si>
  <si>
    <t>09.11.1848</t>
  </si>
  <si>
    <t>12.11.1861</t>
  </si>
  <si>
    <t>05.11.1868</t>
  </si>
  <si>
    <t>06.05.1878</t>
  </si>
  <si>
    <t>08.11.1881</t>
  </si>
  <si>
    <t>10.05.1891</t>
  </si>
  <si>
    <t>10.11.1894</t>
  </si>
  <si>
    <t>14.11.1907</t>
  </si>
  <si>
    <t>07.11.1914</t>
  </si>
  <si>
    <t>08.05.1924</t>
  </si>
  <si>
    <t>10.11.1927</t>
  </si>
  <si>
    <t>11.05.1937</t>
  </si>
  <si>
    <t>11.11.1940</t>
  </si>
  <si>
    <t>14.11.1953</t>
  </si>
  <si>
    <t>06.05.1957</t>
  </si>
  <si>
    <t>07.11.1960</t>
  </si>
  <si>
    <t>09.05.1970</t>
  </si>
  <si>
    <t>10.11.1973</t>
  </si>
  <si>
    <t>13.11.1986</t>
  </si>
  <si>
    <t>06.11.1993</t>
  </si>
  <si>
    <t>15.11.1999</t>
  </si>
  <si>
    <t>07.05.2003</t>
  </si>
  <si>
    <t>08.11.2006</t>
  </si>
  <si>
    <t>09.05.2016</t>
  </si>
  <si>
    <t>11.11.2019</t>
  </si>
  <si>
    <t>13.11.2032</t>
  </si>
  <si>
    <t>07.11.2039</t>
  </si>
  <si>
    <t>07.05.2049</t>
  </si>
  <si>
    <t>09.11.2052</t>
  </si>
  <si>
    <t>10.05.2062</t>
  </si>
  <si>
    <t>11.11.2065</t>
  </si>
  <si>
    <t>14.11.2078</t>
  </si>
  <si>
    <t>07.11.2085</t>
  </si>
  <si>
    <t>08.05.2095</t>
  </si>
  <si>
    <t>10.11.2098</t>
  </si>
  <si>
    <t>12.05.2108</t>
  </si>
  <si>
    <t>14.11.2111</t>
  </si>
  <si>
    <t>15.11.2124</t>
  </si>
  <si>
    <t>09.11.2131</t>
  </si>
  <si>
    <t>10.05.2141</t>
  </si>
  <si>
    <t>11.11.2144</t>
  </si>
  <si>
    <t>13.05.2154</t>
  </si>
  <si>
    <t>14.11.2157</t>
  </si>
  <si>
    <t>16.11.2170</t>
  </si>
  <si>
    <t>08.05.2174</t>
  </si>
  <si>
    <t>09.11.2177</t>
  </si>
  <si>
    <t>11.05.2187</t>
  </si>
  <si>
    <t>12.11.2190</t>
  </si>
  <si>
    <t>16.11.2203</t>
  </si>
  <si>
    <t>09.11.2210</t>
  </si>
  <si>
    <t>09.05.2220</t>
  </si>
  <si>
    <t>12.11.2223</t>
  </si>
  <si>
    <t>12.05.2233</t>
  </si>
  <si>
    <t>13.11.2236</t>
  </si>
  <si>
    <t>16.11.2249</t>
  </si>
  <si>
    <t>09.11.2256</t>
  </si>
  <si>
    <t>10.05.2266</t>
  </si>
  <si>
    <t>12.11.2269</t>
  </si>
  <si>
    <t>13.05.2279</t>
  </si>
  <si>
    <t>15.11.2282</t>
  </si>
  <si>
    <t>17.11.2295</t>
  </si>
  <si>
    <t>Transit Data</t>
  </si>
  <si>
    <t>DtoR</t>
  </si>
  <si>
    <t>RtoD</t>
  </si>
  <si>
    <t>alt</t>
  </si>
  <si>
    <t>Az</t>
  </si>
  <si>
    <t>Hour angles HA)</t>
  </si>
  <si>
    <t>Transit</t>
  </si>
  <si>
    <t>Email</t>
  </si>
  <si>
    <t>V1.0</t>
  </si>
  <si>
    <t>All Rights Reserved:  © Astronomy Morsels.</t>
  </si>
  <si>
    <t>I'm solely responsible for the input and express no warranty.  Use at your own risk.</t>
  </si>
  <si>
    <t>Nonetheless, this spreadsheet has been carefully reviewed, and calculation results have been compared with other applications.</t>
  </si>
  <si>
    <r>
      <rPr>
        <b/>
        <sz val="14"/>
        <color theme="0"/>
        <rFont val="Calibri"/>
        <family val="2"/>
      </rPr>
      <t>Compiled by</t>
    </r>
    <r>
      <rPr>
        <sz val="14"/>
        <color theme="0"/>
        <rFont val="Calibri"/>
        <family val="2"/>
      </rPr>
      <t>: Anton Viola (Astronomy Morsels).</t>
    </r>
  </si>
  <si>
    <r>
      <rPr>
        <b/>
        <sz val="14"/>
        <color theme="0"/>
        <rFont val="Calibri"/>
        <family val="2"/>
      </rPr>
      <t>Latest update</t>
    </r>
    <r>
      <rPr>
        <sz val="14"/>
        <color theme="0"/>
        <rFont val="Calibri"/>
        <family val="2"/>
      </rPr>
      <t>: 22nd May, 2024</t>
    </r>
  </si>
  <si>
    <t xml:space="preserve"> The transit of Mercury occurs when the planet Mercury crosses directly between the Sun and the Earth, blocking out a small part of the Sun's rays. During the transit, Mercury appears as a tiny black dot moving across the disc of the Sun. Mercury and Venus are the only planets that can be seen transiting the Sun from the Earth, as they are the only planets that orbit within Earth's orbit.This spreadsheet enables one to select a transit occurence for a specific date and location for which the sun's position will be displayed.</t>
  </si>
  <si>
    <t>RA (Sun)</t>
  </si>
  <si>
    <t>Dec (Sun)</t>
  </si>
  <si>
    <t>Contact 1</t>
  </si>
  <si>
    <t>Contact 2</t>
  </si>
  <si>
    <t>Contact 3</t>
  </si>
  <si>
    <t>Contact 4</t>
  </si>
  <si>
    <t>GMST</t>
  </si>
  <si>
    <t>Greenwich</t>
  </si>
  <si>
    <t>Source (Eclipsewise)</t>
  </si>
  <si>
    <t>Choose your location from the list below</t>
  </si>
  <si>
    <t>Choose a date from the list at the right</t>
  </si>
  <si>
    <t>Transits for the date/location chosen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</si>
</sst>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1">
    <font>
      <sz val="9"/>
      <name val="Geneva"/>
    </font>
    <font>
      <u/>
      <sz val="9"/>
      <color indexed="12"/>
      <name val="Geneva"/>
      <family val="2"/>
    </font>
    <font>
      <b/>
      <sz val="12"/>
      <name val="Geneva"/>
      <family val="2"/>
    </font>
    <font>
      <sz val="12"/>
      <color theme="1"/>
      <name val="Aptos Narrow"/>
      <family val="2"/>
      <scheme val="minor"/>
    </font>
    <font>
      <sz val="12"/>
      <color theme="1"/>
      <name val="Calibri"/>
      <family val="2"/>
    </font>
    <font>
      <b/>
      <sz val="12"/>
      <color theme="1"/>
      <name val="Calibri"/>
      <family val="2"/>
    </font>
    <font>
      <sz val="11"/>
      <name val="ＭＳ Ｐゴシック"/>
      <family val="2"/>
      <charset val="128"/>
    </font>
    <font>
      <sz val="12"/>
      <name val="Calibri"/>
      <family val="2"/>
    </font>
    <font>
      <b/>
      <sz val="12"/>
      <name val="Calibri"/>
      <family val="2"/>
    </font>
    <font>
      <sz val="12"/>
      <color rgb="FF202122"/>
      <name val="Calibri"/>
      <family val="2"/>
    </font>
    <font>
      <sz val="9"/>
      <name val="Calibri"/>
      <family val="2"/>
    </font>
    <font>
      <u/>
      <sz val="12"/>
      <color indexed="12"/>
      <name val="Calibri"/>
      <family val="2"/>
    </font>
    <font>
      <i/>
      <sz val="14"/>
      <color theme="0"/>
      <name val="Calibri"/>
      <family val="2"/>
    </font>
    <font>
      <u/>
      <sz val="12"/>
      <color theme="10"/>
      <name val="Aptos Narrow"/>
      <family val="2"/>
      <scheme val="minor"/>
    </font>
    <font>
      <u/>
      <sz val="12"/>
      <color theme="0"/>
      <name val="Calibri"/>
      <family val="2"/>
    </font>
    <font>
      <sz val="9"/>
      <color theme="0"/>
      <name val="Calibri"/>
      <family val="2"/>
    </font>
    <font>
      <sz val="14"/>
      <color theme="0"/>
      <name val="Calibri"/>
      <family val="2"/>
    </font>
    <font>
      <b/>
      <sz val="14"/>
      <color theme="0"/>
      <name val="Calibri"/>
      <family val="2"/>
    </font>
    <font>
      <u/>
      <sz val="14"/>
      <color theme="0"/>
      <name val="Calibri"/>
      <family val="2"/>
    </font>
    <font>
      <sz val="10"/>
      <color rgb="FF000000"/>
      <name val="Tahoma"/>
      <family val="2"/>
    </font>
    <font>
      <b/>
      <sz val="10"/>
      <color rgb="FF000000"/>
      <name val="Tahoma"/>
      <family val="2"/>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auto="1"/>
      </right>
      <top/>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3" fillId="0" borderId="0"/>
    <xf numFmtId="0" fontId="6" fillId="0" borderId="0"/>
    <xf numFmtId="0" fontId="3" fillId="0" borderId="0"/>
    <xf numFmtId="0" fontId="13" fillId="0" borderId="0" applyNumberFormat="0" applyFill="0" applyBorder="0" applyAlignment="0" applyProtection="0"/>
  </cellStyleXfs>
  <cellXfs count="115">
    <xf numFmtId="0" fontId="0" fillId="0" borderId="0" xfId="0"/>
    <xf numFmtId="0" fontId="2" fillId="0" borderId="0" xfId="0" applyFont="1"/>
    <xf numFmtId="0" fontId="0" fillId="0" borderId="0" xfId="0" applyAlignment="1">
      <alignment horizontal="left"/>
    </xf>
    <xf numFmtId="0" fontId="4" fillId="3" borderId="6" xfId="2" applyFont="1" applyFill="1" applyBorder="1"/>
    <xf numFmtId="0" fontId="5" fillId="4" borderId="7" xfId="2" applyFont="1" applyFill="1" applyBorder="1" applyAlignment="1">
      <alignment horizontal="right"/>
    </xf>
    <xf numFmtId="0" fontId="5" fillId="0" borderId="0" xfId="2" applyFont="1" applyAlignment="1">
      <alignment horizontal="right"/>
    </xf>
    <xf numFmtId="0" fontId="4" fillId="0" borderId="1" xfId="2" applyFont="1" applyBorder="1"/>
    <xf numFmtId="14" fontId="5" fillId="4" borderId="1" xfId="2" applyNumberFormat="1" applyFont="1" applyFill="1" applyBorder="1" applyAlignment="1" applyProtection="1">
      <alignment horizontal="right"/>
      <protection locked="0"/>
    </xf>
    <xf numFmtId="14" fontId="5" fillId="0" borderId="0" xfId="2" applyNumberFormat="1" applyFont="1" applyAlignment="1" applyProtection="1">
      <alignment horizontal="right"/>
      <protection locked="0"/>
    </xf>
    <xf numFmtId="21" fontId="8" fillId="0" borderId="0" xfId="3" applyNumberFormat="1" applyFont="1" applyAlignment="1" applyProtection="1">
      <alignment horizontal="right" vertical="center"/>
      <protection locked="0"/>
    </xf>
    <xf numFmtId="1" fontId="8" fillId="0" borderId="0" xfId="3" applyNumberFormat="1" applyFont="1" applyAlignment="1" applyProtection="1">
      <alignment horizontal="right" vertical="center"/>
      <protection locked="0"/>
    </xf>
    <xf numFmtId="0" fontId="4" fillId="0" borderId="1" xfId="2" applyFont="1" applyBorder="1" applyAlignment="1">
      <alignment horizontal="right"/>
    </xf>
    <xf numFmtId="0" fontId="4" fillId="0" borderId="0" xfId="2" applyFont="1" applyAlignment="1">
      <alignment horizontal="right"/>
    </xf>
    <xf numFmtId="1" fontId="4" fillId="0" borderId="1" xfId="2" applyNumberFormat="1" applyFont="1" applyBorder="1" applyAlignment="1">
      <alignment horizontal="right"/>
    </xf>
    <xf numFmtId="1" fontId="4" fillId="0" borderId="0" xfId="2" applyNumberFormat="1" applyFont="1" applyAlignment="1">
      <alignment horizontal="right"/>
    </xf>
    <xf numFmtId="4" fontId="4" fillId="0" borderId="1" xfId="2" applyNumberFormat="1" applyFont="1" applyBorder="1" applyAlignment="1">
      <alignment horizontal="right"/>
    </xf>
    <xf numFmtId="4" fontId="4" fillId="0" borderId="0" xfId="2" applyNumberFormat="1" applyFont="1" applyAlignment="1">
      <alignment horizontal="right"/>
    </xf>
    <xf numFmtId="0" fontId="5" fillId="0" borderId="0" xfId="0" applyFont="1" applyAlignment="1" applyProtection="1">
      <alignment horizontal="right"/>
      <protection locked="0"/>
    </xf>
    <xf numFmtId="0" fontId="9" fillId="0" borderId="1" xfId="2" applyFont="1" applyBorder="1" applyAlignment="1">
      <alignment vertical="center"/>
    </xf>
    <xf numFmtId="2" fontId="5" fillId="0" borderId="0" xfId="2" applyNumberFormat="1" applyFont="1" applyAlignment="1" applyProtection="1">
      <alignment horizontal="right"/>
      <protection locked="0"/>
    </xf>
    <xf numFmtId="0" fontId="5" fillId="0" borderId="0" xfId="0" applyFont="1" applyAlignment="1" applyProtection="1">
      <alignment horizontal="center"/>
      <protection locked="0"/>
    </xf>
    <xf numFmtId="0" fontId="4" fillId="0" borderId="0" xfId="2" applyFont="1"/>
    <xf numFmtId="0" fontId="8" fillId="0" borderId="0" xfId="0" applyFont="1"/>
    <xf numFmtId="0" fontId="5" fillId="4" borderId="1" xfId="2" applyFont="1" applyFill="1" applyBorder="1" applyAlignment="1" applyProtection="1">
      <alignment vertical="center"/>
      <protection locked="0"/>
    </xf>
    <xf numFmtId="2" fontId="5" fillId="4" borderId="1" xfId="2" applyNumberFormat="1" applyFont="1" applyFill="1" applyBorder="1" applyAlignment="1" applyProtection="1">
      <alignment vertical="center"/>
      <protection locked="0"/>
    </xf>
    <xf numFmtId="0" fontId="7" fillId="0" borderId="0" xfId="0" applyFont="1"/>
    <xf numFmtId="0" fontId="5" fillId="0" borderId="0" xfId="2" applyFont="1" applyAlignment="1">
      <alignment horizontal="center"/>
    </xf>
    <xf numFmtId="0" fontId="7" fillId="0" borderId="0" xfId="0" applyFont="1" applyAlignment="1">
      <alignment horizontal="center"/>
    </xf>
    <xf numFmtId="0" fontId="7" fillId="0" borderId="0" xfId="0" applyFont="1" applyAlignment="1">
      <alignment horizontal="left"/>
    </xf>
    <xf numFmtId="0" fontId="7" fillId="0" borderId="1" xfId="0" applyFont="1" applyBorder="1" applyAlignment="1">
      <alignment horizontal="center"/>
    </xf>
    <xf numFmtId="20" fontId="7" fillId="0" borderId="1" xfId="0" applyNumberFormat="1" applyFont="1" applyBorder="1" applyAlignment="1">
      <alignment horizontal="center"/>
    </xf>
    <xf numFmtId="0" fontId="4" fillId="0" borderId="0" xfId="2" applyFont="1" applyAlignment="1">
      <alignment horizontal="right" vertical="center"/>
    </xf>
    <xf numFmtId="2" fontId="5" fillId="0" borderId="0" xfId="2" applyNumberFormat="1" applyFont="1" applyAlignment="1" applyProtection="1">
      <alignment vertical="center"/>
      <protection locked="0"/>
    </xf>
    <xf numFmtId="164" fontId="7" fillId="0" borderId="0" xfId="0" applyNumberFormat="1" applyFont="1" applyAlignment="1">
      <alignment horizontal="center"/>
    </xf>
    <xf numFmtId="49" fontId="7" fillId="0" borderId="1" xfId="0" applyNumberFormat="1" applyFont="1" applyBorder="1" applyAlignment="1">
      <alignment horizontal="center"/>
    </xf>
    <xf numFmtId="2" fontId="7" fillId="0" borderId="1" xfId="0" applyNumberFormat="1" applyFont="1" applyBorder="1" applyAlignment="1">
      <alignment horizontal="right"/>
    </xf>
    <xf numFmtId="0" fontId="4" fillId="0" borderId="0" xfId="0" applyFont="1" applyAlignment="1">
      <alignment horizontal="center"/>
    </xf>
    <xf numFmtId="0" fontId="4" fillId="0" borderId="0" xfId="2" applyFont="1" applyAlignment="1">
      <alignment horizontal="center" vertical="center" wrapText="1"/>
    </xf>
    <xf numFmtId="0" fontId="4" fillId="0" borderId="9" xfId="0" applyFont="1" applyBorder="1"/>
    <xf numFmtId="0" fontId="5" fillId="4" borderId="5" xfId="0" applyFont="1" applyFill="1" applyBorder="1" applyAlignment="1" applyProtection="1">
      <alignment horizontal="right"/>
      <protection locked="0"/>
    </xf>
    <xf numFmtId="164" fontId="7" fillId="0" borderId="1" xfId="0" applyNumberFormat="1" applyFont="1" applyBorder="1" applyProtection="1">
      <protection locked="0"/>
    </xf>
    <xf numFmtId="0" fontId="8" fillId="0" borderId="0" xfId="0" applyFont="1" applyAlignment="1">
      <alignment horizontal="center"/>
    </xf>
    <xf numFmtId="0" fontId="8" fillId="0" borderId="0" xfId="0" applyFont="1" applyAlignment="1">
      <alignment horizontal="right" vertical="center"/>
    </xf>
    <xf numFmtId="0" fontId="7" fillId="0" borderId="1" xfId="0" applyFont="1" applyBorder="1"/>
    <xf numFmtId="20" fontId="7" fillId="4" borderId="1" xfId="0" applyNumberFormat="1" applyFont="1" applyFill="1" applyBorder="1" applyAlignment="1">
      <alignment horizontal="center"/>
    </xf>
    <xf numFmtId="0" fontId="4" fillId="5" borderId="0" xfId="4" applyFont="1" applyFill="1"/>
    <xf numFmtId="0" fontId="16" fillId="5" borderId="4" xfId="4" applyFont="1" applyFill="1" applyBorder="1" applyAlignment="1">
      <alignment horizontal="left"/>
    </xf>
    <xf numFmtId="0" fontId="16" fillId="5" borderId="12" xfId="4" applyFont="1" applyFill="1" applyBorder="1" applyAlignment="1">
      <alignment horizontal="center"/>
    </xf>
    <xf numFmtId="0" fontId="16" fillId="5" borderId="12" xfId="4" applyFont="1" applyFill="1" applyBorder="1"/>
    <xf numFmtId="0" fontId="18" fillId="5" borderId="5" xfId="5" applyFont="1" applyFill="1" applyBorder="1" applyAlignment="1">
      <alignment horizontal="center"/>
    </xf>
    <xf numFmtId="0" fontId="18" fillId="5" borderId="8" xfId="5" applyFont="1" applyFill="1" applyBorder="1" applyAlignment="1">
      <alignment horizontal="left"/>
    </xf>
    <xf numFmtId="0" fontId="16" fillId="5" borderId="0" xfId="4" applyFont="1" applyFill="1" applyAlignment="1">
      <alignment horizontal="center"/>
    </xf>
    <xf numFmtId="0" fontId="16" fillId="5" borderId="0" xfId="4" applyFont="1" applyFill="1"/>
    <xf numFmtId="0" fontId="16" fillId="5" borderId="13" xfId="4" applyFont="1" applyFill="1" applyBorder="1" applyAlignment="1">
      <alignment horizontal="center"/>
    </xf>
    <xf numFmtId="0" fontId="16" fillId="5" borderId="6" xfId="5" applyFont="1" applyFill="1" applyBorder="1" applyAlignment="1">
      <alignment horizontal="left"/>
    </xf>
    <xf numFmtId="0" fontId="16" fillId="5" borderId="10" xfId="5" applyFont="1" applyFill="1" applyBorder="1" applyAlignment="1">
      <alignment horizontal="left"/>
    </xf>
    <xf numFmtId="0" fontId="16" fillId="5" borderId="10" xfId="4" applyFont="1" applyFill="1" applyBorder="1"/>
    <xf numFmtId="0" fontId="17" fillId="5" borderId="7" xfId="4" applyFont="1" applyFill="1" applyBorder="1" applyAlignment="1">
      <alignment horizontal="center"/>
    </xf>
    <xf numFmtId="0" fontId="10" fillId="5" borderId="0" xfId="0" applyFont="1" applyFill="1"/>
    <xf numFmtId="0" fontId="4" fillId="0" borderId="0" xfId="2" applyFont="1" applyAlignment="1">
      <alignment horizontal="center" vertical="center"/>
    </xf>
    <xf numFmtId="0" fontId="7" fillId="0" borderId="0" xfId="0" applyFont="1" applyAlignment="1">
      <alignment horizontal="right"/>
    </xf>
    <xf numFmtId="2" fontId="7" fillId="0" borderId="0" xfId="0" applyNumberFormat="1" applyFont="1"/>
    <xf numFmtId="20" fontId="7" fillId="4" borderId="1" xfId="0" applyNumberFormat="1" applyFont="1" applyFill="1" applyBorder="1" applyAlignment="1">
      <alignment horizontal="right"/>
    </xf>
    <xf numFmtId="0" fontId="8" fillId="2" borderId="1" xfId="0" applyFont="1" applyFill="1" applyBorder="1" applyAlignment="1">
      <alignment horizontal="center" vertical="center"/>
    </xf>
    <xf numFmtId="0" fontId="8" fillId="2" borderId="1" xfId="0" applyFont="1" applyFill="1" applyBorder="1" applyAlignment="1">
      <alignment horizontal="center"/>
    </xf>
    <xf numFmtId="0" fontId="8" fillId="2" borderId="1" xfId="0" applyFont="1" applyFill="1" applyBorder="1" applyAlignment="1">
      <alignment horizontal="right" vertical="center"/>
    </xf>
    <xf numFmtId="0" fontId="4" fillId="2" borderId="1" xfId="2" applyFont="1" applyFill="1" applyBorder="1" applyAlignment="1">
      <alignment vertical="center"/>
    </xf>
    <xf numFmtId="0" fontId="9" fillId="2" borderId="1" xfId="2" applyFont="1" applyFill="1" applyBorder="1" applyAlignment="1">
      <alignment horizontal="right" vertical="center"/>
    </xf>
    <xf numFmtId="0" fontId="4" fillId="2" borderId="1" xfId="2" applyFont="1" applyFill="1" applyBorder="1" applyAlignment="1">
      <alignment horizontal="right" vertical="center"/>
    </xf>
    <xf numFmtId="0" fontId="7" fillId="2" borderId="1" xfId="0" applyFont="1" applyFill="1" applyBorder="1" applyAlignment="1">
      <alignment horizontal="center"/>
    </xf>
    <xf numFmtId="0" fontId="7" fillId="2" borderId="1" xfId="0" applyFont="1" applyFill="1" applyBorder="1" applyAlignment="1">
      <alignment horizontal="right"/>
    </xf>
    <xf numFmtId="2" fontId="7" fillId="4" borderId="1" xfId="0" applyNumberFormat="1" applyFont="1" applyFill="1" applyBorder="1" applyAlignment="1">
      <alignment horizontal="right"/>
    </xf>
    <xf numFmtId="0" fontId="7" fillId="5" borderId="0" xfId="0" applyFont="1" applyFill="1"/>
    <xf numFmtId="0" fontId="5" fillId="5" borderId="0" xfId="2" applyFont="1" applyFill="1" applyAlignment="1">
      <alignment horizontal="center"/>
    </xf>
    <xf numFmtId="0" fontId="5" fillId="5" borderId="0" xfId="2" applyFont="1" applyFill="1" applyAlignment="1">
      <alignment horizontal="right"/>
    </xf>
    <xf numFmtId="14" fontId="5" fillId="5" borderId="0" xfId="2" applyNumberFormat="1" applyFont="1" applyFill="1" applyAlignment="1" applyProtection="1">
      <alignment horizontal="right"/>
      <protection locked="0"/>
    </xf>
    <xf numFmtId="21" fontId="8" fillId="5" borderId="0" xfId="3" applyNumberFormat="1" applyFont="1" applyFill="1" applyAlignment="1" applyProtection="1">
      <alignment horizontal="right" vertical="center"/>
      <protection locked="0"/>
    </xf>
    <xf numFmtId="1" fontId="8" fillId="5" borderId="0" xfId="3" applyNumberFormat="1" applyFont="1" applyFill="1" applyAlignment="1" applyProtection="1">
      <alignment horizontal="right" vertical="center"/>
      <protection locked="0"/>
    </xf>
    <xf numFmtId="0" fontId="4" fillId="5" borderId="0" xfId="2" applyFont="1" applyFill="1" applyAlignment="1">
      <alignment horizontal="right"/>
    </xf>
    <xf numFmtId="1" fontId="4" fillId="5" borderId="0" xfId="2" applyNumberFormat="1" applyFont="1" applyFill="1" applyAlignment="1">
      <alignment horizontal="right"/>
    </xf>
    <xf numFmtId="4" fontId="4" fillId="5" borderId="0" xfId="2" applyNumberFormat="1" applyFont="1" applyFill="1" applyAlignment="1">
      <alignment horizontal="right"/>
    </xf>
    <xf numFmtId="0" fontId="5" fillId="5" borderId="0" xfId="0" applyFont="1" applyFill="1" applyAlignment="1" applyProtection="1">
      <alignment horizontal="right"/>
      <protection locked="0"/>
    </xf>
    <xf numFmtId="2" fontId="5" fillId="5" borderId="0" xfId="2" applyNumberFormat="1" applyFont="1" applyFill="1" applyAlignment="1" applyProtection="1">
      <alignment horizontal="right"/>
      <protection locked="0"/>
    </xf>
    <xf numFmtId="0" fontId="4" fillId="5" borderId="0" xfId="2" applyFont="1" applyFill="1" applyAlignment="1">
      <alignment horizontal="center" vertical="center"/>
    </xf>
    <xf numFmtId="0" fontId="4" fillId="5" borderId="0" xfId="2" applyFont="1" applyFill="1" applyAlignment="1">
      <alignment horizontal="right" vertical="center"/>
    </xf>
    <xf numFmtId="2" fontId="5" fillId="5" borderId="0" xfId="2" applyNumberFormat="1" applyFont="1" applyFill="1" applyAlignment="1" applyProtection="1">
      <alignment vertical="center"/>
      <protection locked="0"/>
    </xf>
    <xf numFmtId="0" fontId="5" fillId="5" borderId="0" xfId="0" applyFont="1" applyFill="1" applyAlignment="1" applyProtection="1">
      <alignment horizontal="center"/>
      <protection locked="0"/>
    </xf>
    <xf numFmtId="0" fontId="7" fillId="5" borderId="0" xfId="0" applyFont="1" applyFill="1" applyAlignment="1">
      <alignment horizontal="right"/>
    </xf>
    <xf numFmtId="2" fontId="7" fillId="5" borderId="0" xfId="0" applyNumberFormat="1" applyFont="1" applyFill="1"/>
    <xf numFmtId="0" fontId="2" fillId="5" borderId="0" xfId="0" applyFont="1" applyFill="1"/>
    <xf numFmtId="0" fontId="0" fillId="5" borderId="0" xfId="0" applyFill="1" applyAlignment="1">
      <alignment horizontal="left"/>
    </xf>
    <xf numFmtId="0" fontId="11" fillId="0" borderId="0" xfId="1" applyFont="1" applyAlignment="1" applyProtection="1">
      <alignment horizontal="left"/>
    </xf>
    <xf numFmtId="2" fontId="7" fillId="0" borderId="0" xfId="0" applyNumberFormat="1" applyFont="1" applyAlignment="1">
      <alignment horizontal="center"/>
    </xf>
    <xf numFmtId="14" fontId="4" fillId="0" borderId="0" xfId="2" applyNumberFormat="1" applyFont="1" applyAlignment="1" applyProtection="1">
      <alignment horizontal="left"/>
      <protection locked="0"/>
    </xf>
    <xf numFmtId="1" fontId="4" fillId="0" borderId="0" xfId="2" applyNumberFormat="1" applyFont="1" applyAlignment="1">
      <alignment horizontal="left"/>
    </xf>
    <xf numFmtId="0" fontId="12" fillId="5" borderId="0" xfId="4" applyFont="1" applyFill="1" applyAlignment="1">
      <alignment horizontal="center" vertical="center" wrapText="1"/>
    </xf>
    <xf numFmtId="0" fontId="14" fillId="5" borderId="4" xfId="5" applyFont="1" applyFill="1" applyBorder="1" applyAlignment="1">
      <alignment horizontal="center"/>
    </xf>
    <xf numFmtId="0" fontId="14" fillId="5" borderId="12" xfId="5" applyFont="1" applyFill="1" applyBorder="1" applyAlignment="1">
      <alignment horizontal="center"/>
    </xf>
    <xf numFmtId="0" fontId="14" fillId="5" borderId="14" xfId="5" applyFont="1" applyFill="1" applyBorder="1" applyAlignment="1">
      <alignment horizontal="center"/>
    </xf>
    <xf numFmtId="0" fontId="15" fillId="5" borderId="8" xfId="0" applyFont="1" applyFill="1" applyBorder="1" applyAlignment="1">
      <alignment horizontal="center"/>
    </xf>
    <xf numFmtId="0" fontId="15" fillId="5" borderId="0" xfId="0" applyFont="1" applyFill="1" applyAlignment="1">
      <alignment horizontal="center"/>
    </xf>
    <xf numFmtId="0" fontId="15" fillId="5" borderId="15" xfId="0" applyFont="1" applyFill="1" applyBorder="1" applyAlignment="1">
      <alignment horizontal="center"/>
    </xf>
    <xf numFmtId="0" fontId="15" fillId="5" borderId="6" xfId="0" applyFont="1" applyFill="1" applyBorder="1" applyAlignment="1">
      <alignment horizontal="center"/>
    </xf>
    <xf numFmtId="0" fontId="15" fillId="5" borderId="10" xfId="0" applyFont="1" applyFill="1" applyBorder="1" applyAlignment="1">
      <alignment horizontal="center"/>
    </xf>
    <xf numFmtId="0" fontId="15" fillId="5" borderId="16" xfId="0" applyFont="1" applyFill="1" applyBorder="1" applyAlignment="1">
      <alignment horizontal="center"/>
    </xf>
    <xf numFmtId="0" fontId="7" fillId="0" borderId="10" xfId="0" applyFont="1" applyBorder="1" applyAlignment="1">
      <alignment horizont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xf>
    <xf numFmtId="0" fontId="8" fillId="2" borderId="11" xfId="0" applyFont="1" applyFill="1" applyBorder="1" applyAlignment="1">
      <alignment horizontal="center"/>
    </xf>
    <xf numFmtId="0" fontId="8" fillId="2" borderId="3" xfId="0" applyFont="1" applyFill="1" applyBorder="1" applyAlignment="1">
      <alignment horizontal="center"/>
    </xf>
    <xf numFmtId="0" fontId="5" fillId="2" borderId="2" xfId="2" applyFont="1" applyFill="1" applyBorder="1" applyAlignment="1">
      <alignment horizontal="center"/>
    </xf>
    <xf numFmtId="0" fontId="5" fillId="2" borderId="3" xfId="2" applyFont="1" applyFill="1" applyBorder="1" applyAlignment="1">
      <alignment horizontal="center"/>
    </xf>
    <xf numFmtId="0" fontId="5" fillId="2" borderId="11" xfId="2" applyFont="1" applyFill="1" applyBorder="1" applyAlignment="1">
      <alignment horizontal="center"/>
    </xf>
    <xf numFmtId="0" fontId="4" fillId="0" borderId="10" xfId="2" applyFont="1" applyBorder="1" applyAlignment="1">
      <alignment horizontal="center" vertical="center"/>
    </xf>
  </cellXfs>
  <cellStyles count="6">
    <cellStyle name="Hyperlink" xfId="1" builtinId="8"/>
    <cellStyle name="Hyperlink 2" xfId="5" xr:uid="{AC01E9E5-974E-FB45-831D-C4DB711A6B16}"/>
    <cellStyle name="Normal" xfId="0" builtinId="0"/>
    <cellStyle name="Normal 2" xfId="4" xr:uid="{FE3186F5-1C68-BD4E-BBFF-D55449AFB4F8}"/>
    <cellStyle name="Normal 3" xfId="2" xr:uid="{69C354B0-0E8D-7F44-98CD-64D7C20C6261}"/>
    <cellStyle name="Normal 3 2" xfId="3" xr:uid="{2F5C8E46-F55F-C442-B3C8-093CC6CC3978}"/>
  </cellStyles>
  <dxfs count="4">
    <dxf>
      <font>
        <color rgb="FF9C0006"/>
      </font>
      <fill>
        <patternFill>
          <bgColor rgb="FFFFC7CE"/>
        </patternFill>
      </fill>
    </dxf>
    <dxf>
      <font>
        <color rgb="FF006100"/>
      </font>
      <fill>
        <patternFill>
          <bgColor rgb="FFC6EFCE"/>
        </patternFill>
      </fill>
    </dxf>
    <dxf>
      <font>
        <color theme="0"/>
      </font>
      <fill>
        <patternFill>
          <bgColor theme="1"/>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GB"/>
              <a:t>Mercury Transits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CH"/>
        </a:p>
      </c:txPr>
    </c:title>
    <c:autoTitleDeleted val="0"/>
    <c:plotArea>
      <c:layout/>
      <c:scatterChart>
        <c:scatterStyle val="lineMarker"/>
        <c:varyColors val="0"/>
        <c:ser>
          <c:idx val="0"/>
          <c:order val="0"/>
          <c:spPr>
            <a:ln w="38100" cap="rnd">
              <a:noFill/>
              <a:round/>
            </a:ln>
            <a:effectLst/>
          </c:spPr>
          <c:marker>
            <c:symbol val="circle"/>
            <c:size val="5"/>
            <c:spPr>
              <a:solidFill>
                <a:schemeClr val="accent1"/>
              </a:solidFill>
              <a:ln w="9525">
                <a:solidFill>
                  <a:schemeClr val="accent1"/>
                </a:solidFill>
              </a:ln>
              <a:effectLst/>
            </c:spPr>
          </c:marker>
          <c:dPt>
            <c:idx val="0"/>
            <c:marker>
              <c:symbol val="circle"/>
              <c:size val="2"/>
              <c:spPr>
                <a:solidFill>
                  <a:srgbClr val="FFC000"/>
                </a:solidFill>
                <a:ln w="9525">
                  <a:solidFill>
                    <a:schemeClr val="tx1"/>
                  </a:solidFill>
                </a:ln>
                <a:effectLst/>
              </c:spPr>
            </c:marker>
            <c:bubble3D val="0"/>
            <c:extLst>
              <c:ext xmlns:c16="http://schemas.microsoft.com/office/drawing/2014/chart" uri="{C3380CC4-5D6E-409C-BE32-E72D297353CC}">
                <c16:uniqueId val="{00000004-2362-AC40-B212-EDE9B0F66206}"/>
              </c:ext>
            </c:extLst>
          </c:dPt>
          <c:dPt>
            <c:idx val="1"/>
            <c:marker>
              <c:symbol val="circle"/>
              <c:size val="2"/>
              <c:spPr>
                <a:solidFill>
                  <a:srgbClr val="00B050"/>
                </a:solidFill>
                <a:ln w="9525">
                  <a:solidFill>
                    <a:schemeClr val="tx1"/>
                  </a:solidFill>
                </a:ln>
                <a:effectLst/>
              </c:spPr>
            </c:marker>
            <c:bubble3D val="0"/>
            <c:extLst>
              <c:ext xmlns:c16="http://schemas.microsoft.com/office/drawing/2014/chart" uri="{C3380CC4-5D6E-409C-BE32-E72D297353CC}">
                <c16:uniqueId val="{00000005-2362-AC40-B212-EDE9B0F66206}"/>
              </c:ext>
            </c:extLst>
          </c:dPt>
          <c:dPt>
            <c:idx val="2"/>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2-2362-AC40-B212-EDE9B0F66206}"/>
              </c:ext>
            </c:extLst>
          </c:dPt>
          <c:dPt>
            <c:idx val="3"/>
            <c:marker>
              <c:symbol val="circle"/>
              <c:size val="2"/>
              <c:spPr>
                <a:solidFill>
                  <a:srgbClr val="00B050"/>
                </a:solidFill>
                <a:ln w="9525">
                  <a:solidFill>
                    <a:schemeClr val="tx1"/>
                  </a:solidFill>
                </a:ln>
                <a:effectLst/>
              </c:spPr>
            </c:marker>
            <c:bubble3D val="0"/>
            <c:extLst>
              <c:ext xmlns:c16="http://schemas.microsoft.com/office/drawing/2014/chart" uri="{C3380CC4-5D6E-409C-BE32-E72D297353CC}">
                <c16:uniqueId val="{00000003-2362-AC40-B212-EDE9B0F66206}"/>
              </c:ext>
            </c:extLst>
          </c:dPt>
          <c:dPt>
            <c:idx val="4"/>
            <c:marker>
              <c:symbol val="circle"/>
              <c:size val="2"/>
              <c:spPr>
                <a:solidFill>
                  <a:srgbClr val="FFC000"/>
                </a:solidFill>
                <a:ln w="9525">
                  <a:solidFill>
                    <a:schemeClr val="tx1"/>
                  </a:solidFill>
                </a:ln>
                <a:effectLst/>
              </c:spPr>
            </c:marker>
            <c:bubble3D val="0"/>
            <c:extLst>
              <c:ext xmlns:c16="http://schemas.microsoft.com/office/drawing/2014/chart" uri="{C3380CC4-5D6E-409C-BE32-E72D297353CC}">
                <c16:uniqueId val="{00000006-2362-AC40-B212-EDE9B0F66206}"/>
              </c:ext>
            </c:extLst>
          </c:dPt>
          <c:xVal>
            <c:numRef>
              <c:f>Mercury!$D$27:$D$31</c:f>
              <c:numCache>
                <c:formatCode>0.00</c:formatCode>
                <c:ptCount val="5"/>
                <c:pt idx="0">
                  <c:v>119.14921507398223</c:v>
                </c:pt>
                <c:pt idx="1">
                  <c:v>0</c:v>
                </c:pt>
                <c:pt idx="2">
                  <c:v>120.80611261044756</c:v>
                </c:pt>
                <c:pt idx="3">
                  <c:v>0</c:v>
                </c:pt>
                <c:pt idx="4">
                  <c:v>122.79959068824921</c:v>
                </c:pt>
              </c:numCache>
            </c:numRef>
          </c:xVal>
          <c:yVal>
            <c:numRef>
              <c:f>Mercury!$C$27:$C$31</c:f>
              <c:numCache>
                <c:formatCode>0.00</c:formatCode>
                <c:ptCount val="5"/>
                <c:pt idx="0">
                  <c:v>47.362308018807191</c:v>
                </c:pt>
                <c:pt idx="1">
                  <c:v>0</c:v>
                </c:pt>
                <c:pt idx="2">
                  <c:v>48.257533875237286</c:v>
                </c:pt>
                <c:pt idx="3">
                  <c:v>0</c:v>
                </c:pt>
                <c:pt idx="4">
                  <c:v>49.282251600148925</c:v>
                </c:pt>
              </c:numCache>
            </c:numRef>
          </c:yVal>
          <c:smooth val="0"/>
          <c:extLst>
            <c:ext xmlns:c16="http://schemas.microsoft.com/office/drawing/2014/chart" uri="{C3380CC4-5D6E-409C-BE32-E72D297353CC}">
              <c16:uniqueId val="{00000000-2362-AC40-B212-EDE9B0F66206}"/>
            </c:ext>
          </c:extLst>
        </c:ser>
        <c:dLbls>
          <c:showLegendKey val="0"/>
          <c:showVal val="0"/>
          <c:showCatName val="0"/>
          <c:showSerName val="0"/>
          <c:showPercent val="0"/>
          <c:showBubbleSize val="0"/>
        </c:dLbls>
        <c:axId val="1127342735"/>
        <c:axId val="1112237631"/>
      </c:scatterChart>
      <c:valAx>
        <c:axId val="1127342735"/>
        <c:scaling>
          <c:orientation val="minMax"/>
          <c:max val="36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GB"/>
                  <a:t>Azimuth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CH"/>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CH"/>
          </a:p>
        </c:txPr>
        <c:crossAx val="1112237631"/>
        <c:crosses val="autoZero"/>
        <c:crossBetween val="midCat"/>
        <c:majorUnit val="30"/>
      </c:valAx>
      <c:valAx>
        <c:axId val="1112237631"/>
        <c:scaling>
          <c:orientation val="minMax"/>
          <c:max val="90"/>
          <c:min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GB"/>
                  <a:t>Altitude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CH"/>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en-CH"/>
          </a:p>
        </c:txPr>
        <c:crossAx val="1127342735"/>
        <c:crosses val="autoZero"/>
        <c:crossBetween val="midCat"/>
        <c:majorUnit val="30"/>
      </c:valAx>
      <c:spPr>
        <a:solidFill>
          <a:schemeClr val="accent3">
            <a:lumMod val="20000"/>
            <a:lumOff val="80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alibri" panose="020F0502020204030204" pitchFamily="34" charset="0"/>
          <a:cs typeface="Calibri" panose="020F0502020204030204" pitchFamily="34" charset="0"/>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g"/><Relationship Id="rId1" Type="http://schemas.openxmlformats.org/officeDocument/2006/relationships/hyperlink" Target="https://www.astronomy-morsels.ch/morsels"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596900</xdr:colOff>
      <xdr:row>44</xdr:row>
      <xdr:rowOff>0</xdr:rowOff>
    </xdr:from>
    <xdr:to>
      <xdr:col>9</xdr:col>
      <xdr:colOff>215900</xdr:colOff>
      <xdr:row>53</xdr:row>
      <xdr:rowOff>114300</xdr:rowOff>
    </xdr:to>
    <xdr:pic>
      <xdr:nvPicPr>
        <xdr:cNvPr id="2" name="Picture 1">
          <a:hlinkClick xmlns:r="http://schemas.openxmlformats.org/officeDocument/2006/relationships" r:id="rId1"/>
          <a:extLst>
            <a:ext uri="{FF2B5EF4-FFF2-40B4-BE49-F238E27FC236}">
              <a16:creationId xmlns:a16="http://schemas.microsoft.com/office/drawing/2014/main" id="{08D3742C-25AE-7E4E-B1F2-A96BDE30A877}"/>
            </a:ext>
          </a:extLst>
        </xdr:cNvPr>
        <xdr:cNvPicPr>
          <a:picLocks noChangeAspect="1"/>
        </xdr:cNvPicPr>
      </xdr:nvPicPr>
      <xdr:blipFill>
        <a:blip xmlns:r="http://schemas.openxmlformats.org/officeDocument/2006/relationships" r:embed="rId2"/>
        <a:stretch>
          <a:fillRect/>
        </a:stretch>
      </xdr:blipFill>
      <xdr:spPr>
        <a:xfrm>
          <a:off x="2247900" y="8039100"/>
          <a:ext cx="5397500" cy="1943100"/>
        </a:xfrm>
        <a:prstGeom prst="rect">
          <a:avLst/>
        </a:prstGeom>
      </xdr:spPr>
    </xdr:pic>
    <xdr:clientData/>
  </xdr:twoCellAnchor>
  <xdr:twoCellAnchor editAs="oneCell">
    <xdr:from>
      <xdr:col>2</xdr:col>
      <xdr:colOff>279399</xdr:colOff>
      <xdr:row>16</xdr:row>
      <xdr:rowOff>193230</xdr:rowOff>
    </xdr:from>
    <xdr:to>
      <xdr:col>9</xdr:col>
      <xdr:colOff>469898</xdr:colOff>
      <xdr:row>36</xdr:row>
      <xdr:rowOff>101599</xdr:rowOff>
    </xdr:to>
    <xdr:pic>
      <xdr:nvPicPr>
        <xdr:cNvPr id="3" name="Picture 2" descr="That Tiny Dot? It's the 2019 Transit of Mercury - The New York Times">
          <a:extLst>
            <a:ext uri="{FF2B5EF4-FFF2-40B4-BE49-F238E27FC236}">
              <a16:creationId xmlns:a16="http://schemas.microsoft.com/office/drawing/2014/main" id="{1ACEF416-7131-A64E-D408-96CA3A03B32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30399" y="3558730"/>
          <a:ext cx="5968999" cy="3972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812800</xdr:colOff>
      <xdr:row>34</xdr:row>
      <xdr:rowOff>190500</xdr:rowOff>
    </xdr:from>
    <xdr:to>
      <xdr:col>12</xdr:col>
      <xdr:colOff>571500</xdr:colOff>
      <xdr:row>49</xdr:row>
      <xdr:rowOff>50800</xdr:rowOff>
    </xdr:to>
    <xdr:graphicFrame macro="">
      <xdr:nvGraphicFramePr>
        <xdr:cNvPr id="2" name="Chart 1">
          <a:extLst>
            <a:ext uri="{FF2B5EF4-FFF2-40B4-BE49-F238E27FC236}">
              <a16:creationId xmlns:a16="http://schemas.microsoft.com/office/drawing/2014/main" id="{518D8842-5141-A15A-CC24-C73A49B505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622300</xdr:colOff>
      <xdr:row>1</xdr:row>
      <xdr:rowOff>0</xdr:rowOff>
    </xdr:from>
    <xdr:to>
      <xdr:col>18</xdr:col>
      <xdr:colOff>660400</xdr:colOff>
      <xdr:row>22</xdr:row>
      <xdr:rowOff>178722</xdr:rowOff>
    </xdr:to>
    <xdr:pic>
      <xdr:nvPicPr>
        <xdr:cNvPr id="3" name="Picture 2" descr="Transits of Mercury of 2006, 2016 and 2019 | Space for life">
          <a:extLst>
            <a:ext uri="{FF2B5EF4-FFF2-40B4-BE49-F238E27FC236}">
              <a16:creationId xmlns:a16="http://schemas.microsoft.com/office/drawing/2014/main" id="{E9C44D08-6D36-1BA2-A38B-D8B0547D0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203200"/>
          <a:ext cx="6642100" cy="4445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622822</xdr:colOff>
      <xdr:row>25</xdr:row>
      <xdr:rowOff>127000</xdr:rowOff>
    </xdr:from>
    <xdr:to>
      <xdr:col>18</xdr:col>
      <xdr:colOff>647700</xdr:colOff>
      <xdr:row>42</xdr:row>
      <xdr:rowOff>155383</xdr:rowOff>
    </xdr:to>
    <xdr:pic>
      <xdr:nvPicPr>
        <xdr:cNvPr id="2" name="Picture 1" descr="Partial Mercury Transit on May 10–11, 1937 – Where and When to See">
          <a:extLst>
            <a:ext uri="{FF2B5EF4-FFF2-40B4-BE49-F238E27FC236}">
              <a16:creationId xmlns:a16="http://schemas.microsoft.com/office/drawing/2014/main" id="{8D2D9425-0321-2ADE-FD9C-27B53B7D0C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7822" y="5207000"/>
          <a:ext cx="6628878" cy="3482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12700</xdr:colOff>
      <xdr:row>0</xdr:row>
      <xdr:rowOff>165100</xdr:rowOff>
    </xdr:from>
    <xdr:to>
      <xdr:col>10</xdr:col>
      <xdr:colOff>165100</xdr:colOff>
      <xdr:row>42</xdr:row>
      <xdr:rowOff>177800</xdr:rowOff>
    </xdr:to>
    <xdr:pic>
      <xdr:nvPicPr>
        <xdr:cNvPr id="7" name="Picture 6">
          <a:extLst>
            <a:ext uri="{FF2B5EF4-FFF2-40B4-BE49-F238E27FC236}">
              <a16:creationId xmlns:a16="http://schemas.microsoft.com/office/drawing/2014/main" id="{E87C8EE2-FAA3-82DB-291D-495108337261}"/>
            </a:ext>
          </a:extLst>
        </xdr:cNvPr>
        <xdr:cNvPicPr>
          <a:picLocks noChangeAspect="1"/>
        </xdr:cNvPicPr>
      </xdr:nvPicPr>
      <xdr:blipFill>
        <a:blip xmlns:r="http://schemas.openxmlformats.org/officeDocument/2006/relationships" r:embed="rId3"/>
        <a:stretch>
          <a:fillRect/>
        </a:stretch>
      </xdr:blipFill>
      <xdr:spPr>
        <a:xfrm>
          <a:off x="838200" y="165100"/>
          <a:ext cx="7581900" cy="8547100"/>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tronomy-morsels.ch/" TargetMode="External"/><Relationship Id="rId1" Type="http://schemas.openxmlformats.org/officeDocument/2006/relationships/hyperlink" Target="mailto:anton@astronomy-morsels.ch?subject=Eclipse%20Dat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eclipsewise.com/transit/catalog/visible.html" TargetMode="External"/><Relationship Id="rId1" Type="http://schemas.openxmlformats.org/officeDocument/2006/relationships/hyperlink" Target="http://sunearth.gsfc.nasa.gov/eclipse/transit/catalog/Tcatkey.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EA5A5-52F4-4B4B-8995-07F7A011D426}">
  <dimension ref="A3:M42"/>
  <sheetViews>
    <sheetView tabSelected="1" workbookViewId="0">
      <selection activeCell="A23" sqref="A23"/>
    </sheetView>
  </sheetViews>
  <sheetFormatPr baseColWidth="10" defaultRowHeight="16"/>
  <cols>
    <col min="1" max="13" width="10.83203125" style="45"/>
    <col min="14" max="16384" width="10.83203125" style="58"/>
  </cols>
  <sheetData>
    <row r="3" spans="2:11">
      <c r="B3" s="95" t="s">
        <v>127</v>
      </c>
      <c r="C3" s="95"/>
      <c r="D3" s="95"/>
      <c r="E3" s="95"/>
      <c r="F3" s="95"/>
      <c r="G3" s="95"/>
      <c r="H3" s="95"/>
      <c r="I3" s="95"/>
      <c r="J3" s="95"/>
      <c r="K3" s="95"/>
    </row>
    <row r="4" spans="2:11">
      <c r="B4" s="95"/>
      <c r="C4" s="95"/>
      <c r="D4" s="95"/>
      <c r="E4" s="95"/>
      <c r="F4" s="95"/>
      <c r="G4" s="95"/>
      <c r="H4" s="95"/>
      <c r="I4" s="95"/>
      <c r="J4" s="95"/>
      <c r="K4" s="95"/>
    </row>
    <row r="5" spans="2:11">
      <c r="B5" s="95"/>
      <c r="C5" s="95"/>
      <c r="D5" s="95"/>
      <c r="E5" s="95"/>
      <c r="F5" s="95"/>
      <c r="G5" s="95"/>
      <c r="H5" s="95"/>
      <c r="I5" s="95"/>
      <c r="J5" s="95"/>
      <c r="K5" s="95"/>
    </row>
    <row r="6" spans="2:11">
      <c r="B6" s="95"/>
      <c r="C6" s="95"/>
      <c r="D6" s="95"/>
      <c r="E6" s="95"/>
      <c r="F6" s="95"/>
      <c r="G6" s="95"/>
      <c r="H6" s="95"/>
      <c r="I6" s="95"/>
      <c r="J6" s="95"/>
      <c r="K6" s="95"/>
    </row>
    <row r="7" spans="2:11">
      <c r="B7" s="95"/>
      <c r="C7" s="95"/>
      <c r="D7" s="95"/>
      <c r="E7" s="95"/>
      <c r="F7" s="95"/>
      <c r="G7" s="95"/>
      <c r="H7" s="95"/>
      <c r="I7" s="95"/>
      <c r="J7" s="95"/>
      <c r="K7" s="95"/>
    </row>
    <row r="8" spans="2:11">
      <c r="B8" s="95"/>
      <c r="C8" s="95"/>
      <c r="D8" s="95"/>
      <c r="E8" s="95"/>
      <c r="F8" s="95"/>
      <c r="G8" s="95"/>
      <c r="H8" s="95"/>
      <c r="I8" s="95"/>
      <c r="J8" s="95"/>
      <c r="K8" s="95"/>
    </row>
    <row r="9" spans="2:11">
      <c r="B9" s="95"/>
      <c r="C9" s="95"/>
      <c r="D9" s="95"/>
      <c r="E9" s="95"/>
      <c r="F9" s="95"/>
      <c r="G9" s="95"/>
      <c r="H9" s="95"/>
      <c r="I9" s="95"/>
      <c r="J9" s="95"/>
      <c r="K9" s="95"/>
    </row>
    <row r="13" spans="2:11" ht="19">
      <c r="D13" s="46" t="s">
        <v>125</v>
      </c>
      <c r="E13" s="47"/>
      <c r="F13" s="48"/>
      <c r="G13" s="48"/>
      <c r="H13" s="48"/>
      <c r="I13" s="49" t="s">
        <v>120</v>
      </c>
    </row>
    <row r="14" spans="2:11" ht="19">
      <c r="D14" s="50"/>
      <c r="E14" s="51"/>
      <c r="F14" s="52"/>
      <c r="G14" s="52"/>
      <c r="H14" s="52"/>
      <c r="I14" s="53"/>
    </row>
    <row r="15" spans="2:11" ht="19">
      <c r="D15" s="54" t="s">
        <v>126</v>
      </c>
      <c r="E15" s="55"/>
      <c r="F15" s="56"/>
      <c r="G15" s="56"/>
      <c r="H15" s="56"/>
      <c r="I15" s="57" t="s">
        <v>121</v>
      </c>
    </row>
    <row r="25" spans="3:4">
      <c r="C25" s="58"/>
    </row>
    <row r="26" spans="3:4">
      <c r="C26" s="58"/>
    </row>
    <row r="28" spans="3:4">
      <c r="D28" s="58"/>
    </row>
    <row r="39" spans="1:11">
      <c r="A39" s="58"/>
    </row>
    <row r="40" spans="1:11">
      <c r="B40" s="96" t="s">
        <v>122</v>
      </c>
      <c r="C40" s="97"/>
      <c r="D40" s="97"/>
      <c r="E40" s="97"/>
      <c r="F40" s="97"/>
      <c r="G40" s="97"/>
      <c r="H40" s="97"/>
      <c r="I40" s="97"/>
      <c r="J40" s="97"/>
      <c r="K40" s="98"/>
    </row>
    <row r="41" spans="1:11">
      <c r="B41" s="99" t="s">
        <v>123</v>
      </c>
      <c r="C41" s="100"/>
      <c r="D41" s="100"/>
      <c r="E41" s="100"/>
      <c r="F41" s="100"/>
      <c r="G41" s="100"/>
      <c r="H41" s="100"/>
      <c r="I41" s="100"/>
      <c r="J41" s="100"/>
      <c r="K41" s="101"/>
    </row>
    <row r="42" spans="1:11">
      <c r="B42" s="102" t="s">
        <v>124</v>
      </c>
      <c r="C42" s="103"/>
      <c r="D42" s="103"/>
      <c r="E42" s="103"/>
      <c r="F42" s="103"/>
      <c r="G42" s="103"/>
      <c r="H42" s="103"/>
      <c r="I42" s="103"/>
      <c r="J42" s="103"/>
      <c r="K42" s="104"/>
    </row>
  </sheetData>
  <sheetProtection sheet="1" objects="1" scenarios="1"/>
  <mergeCells count="4">
    <mergeCell ref="B3:K9"/>
    <mergeCell ref="B40:K40"/>
    <mergeCell ref="B41:K41"/>
    <mergeCell ref="B42:K42"/>
  </mergeCells>
  <hyperlinks>
    <hyperlink ref="I13" r:id="rId1" xr:uid="{1179C748-7A5A-094F-9B9E-0CE93328FF0C}"/>
    <hyperlink ref="B40" r:id="rId2" display="http://www.astronomy-morsels.ch/" xr:uid="{DF043592-6C83-024E-8900-2F243A92F72D}"/>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1525-3F58-3F41-B0B5-A3F5271A43D9}">
  <sheetPr>
    <pageSetUpPr fitToPage="1"/>
  </sheetPr>
  <dimension ref="A2:AP120"/>
  <sheetViews>
    <sheetView showGridLines="0" workbookViewId="0">
      <selection activeCell="G29" sqref="G29"/>
    </sheetView>
  </sheetViews>
  <sheetFormatPr baseColWidth="10" defaultRowHeight="16"/>
  <cols>
    <col min="1" max="1" width="10.83203125" style="25"/>
    <col min="2" max="3" width="13.33203125" style="27" customWidth="1"/>
    <col min="4" max="13" width="13.33203125" style="25" customWidth="1"/>
    <col min="14" max="14" width="3.33203125" style="72" customWidth="1"/>
    <col min="15" max="15" width="5.83203125" style="25" customWidth="1"/>
    <col min="16" max="16" width="13.33203125" style="27" customWidth="1"/>
    <col min="17" max="17" width="5.83203125" style="25" customWidth="1"/>
    <col min="18" max="20" width="8.33203125" style="25" customWidth="1"/>
    <col min="21" max="41" width="8.33203125" customWidth="1"/>
  </cols>
  <sheetData>
    <row r="2" spans="1:42">
      <c r="P2" s="91" t="s">
        <v>136</v>
      </c>
    </row>
    <row r="4" spans="1:42">
      <c r="B4" s="111" t="s">
        <v>4</v>
      </c>
      <c r="C4" s="112"/>
      <c r="D4" s="26"/>
      <c r="E4" s="26"/>
      <c r="F4" s="26"/>
      <c r="G4" s="26"/>
      <c r="H4" s="26"/>
      <c r="I4" s="26"/>
      <c r="J4" s="26"/>
      <c r="K4" s="26"/>
      <c r="L4" s="26"/>
      <c r="M4" s="26"/>
      <c r="N4" s="73"/>
      <c r="O4" s="26"/>
      <c r="P4" s="111" t="s">
        <v>113</v>
      </c>
      <c r="Q4" s="113"/>
      <c r="R4" s="113"/>
      <c r="S4" s="113"/>
      <c r="T4" s="113"/>
      <c r="U4" s="113"/>
      <c r="V4" s="113"/>
      <c r="W4" s="113"/>
      <c r="X4" s="113"/>
      <c r="Y4" s="113"/>
      <c r="Z4" s="112"/>
      <c r="AA4" s="26"/>
      <c r="AB4" s="26"/>
      <c r="AC4" s="26"/>
      <c r="AD4" s="26"/>
      <c r="AE4" s="26"/>
      <c r="AF4" s="106" t="s">
        <v>130</v>
      </c>
      <c r="AG4" s="107"/>
      <c r="AH4" s="106" t="s">
        <v>131</v>
      </c>
      <c r="AI4" s="107"/>
      <c r="AJ4" s="106" t="s">
        <v>3</v>
      </c>
      <c r="AK4" s="107"/>
      <c r="AL4" s="106" t="s">
        <v>132</v>
      </c>
      <c r="AM4" s="107"/>
      <c r="AN4" s="106" t="s">
        <v>133</v>
      </c>
      <c r="AO4" s="107"/>
    </row>
    <row r="5" spans="1:42">
      <c r="B5" s="3"/>
      <c r="C5" s="4" t="s">
        <v>5</v>
      </c>
      <c r="D5" s="5"/>
      <c r="E5" s="5"/>
      <c r="F5" s="5"/>
      <c r="G5" s="5"/>
      <c r="H5" s="5"/>
      <c r="I5" s="5"/>
      <c r="J5" s="5"/>
      <c r="K5" s="5"/>
      <c r="L5" s="5"/>
      <c r="M5" s="5"/>
      <c r="N5" s="74"/>
      <c r="O5" s="21"/>
      <c r="P5" s="63" t="s">
        <v>2</v>
      </c>
      <c r="Q5" s="63" t="s">
        <v>1</v>
      </c>
      <c r="R5" s="64" t="s">
        <v>130</v>
      </c>
      <c r="S5" s="64" t="s">
        <v>131</v>
      </c>
      <c r="T5" s="64" t="s">
        <v>3</v>
      </c>
      <c r="U5" s="64" t="s">
        <v>132</v>
      </c>
      <c r="V5" s="64" t="s">
        <v>133</v>
      </c>
      <c r="W5" s="65" t="s">
        <v>0</v>
      </c>
      <c r="X5" s="65" t="s">
        <v>128</v>
      </c>
      <c r="Y5" s="65" t="s">
        <v>129</v>
      </c>
      <c r="Z5" s="65" t="s">
        <v>134</v>
      </c>
      <c r="AA5" s="108" t="s">
        <v>118</v>
      </c>
      <c r="AB5" s="109"/>
      <c r="AC5" s="109"/>
      <c r="AD5" s="109"/>
      <c r="AE5" s="110"/>
      <c r="AF5" s="65" t="s">
        <v>116</v>
      </c>
      <c r="AG5" s="65" t="s">
        <v>117</v>
      </c>
      <c r="AH5" s="65" t="s">
        <v>116</v>
      </c>
      <c r="AI5" s="65" t="s">
        <v>117</v>
      </c>
      <c r="AJ5" s="65" t="s">
        <v>116</v>
      </c>
      <c r="AK5" s="65" t="s">
        <v>117</v>
      </c>
      <c r="AL5" s="65" t="s">
        <v>116</v>
      </c>
      <c r="AM5" s="65" t="s">
        <v>117</v>
      </c>
      <c r="AN5" s="65" t="s">
        <v>116</v>
      </c>
      <c r="AO5" s="65" t="s">
        <v>117</v>
      </c>
      <c r="AP5" s="25"/>
    </row>
    <row r="6" spans="1:42">
      <c r="B6" s="6" t="s">
        <v>2</v>
      </c>
      <c r="C6" s="7" t="s">
        <v>63</v>
      </c>
      <c r="D6" s="93" t="s">
        <v>138</v>
      </c>
      <c r="E6" s="8"/>
      <c r="F6" s="8"/>
      <c r="G6" s="8"/>
      <c r="H6" s="8"/>
      <c r="I6" s="8"/>
      <c r="J6" s="8"/>
      <c r="K6" s="8"/>
      <c r="L6" s="8"/>
      <c r="M6" s="8"/>
      <c r="N6" s="75"/>
      <c r="O6" s="8" t="str">
        <f t="shared" ref="O6:O37" si="0">IF(P6=$C$6,"*","")</f>
        <v/>
      </c>
      <c r="P6" s="34" t="s">
        <v>19</v>
      </c>
      <c r="Q6" s="29">
        <v>6</v>
      </c>
      <c r="R6" s="30">
        <v>0.78055555555555556</v>
      </c>
      <c r="S6" s="30">
        <v>0.78333333333333333</v>
      </c>
      <c r="T6" s="30">
        <v>0.8354166666666667</v>
      </c>
      <c r="U6" s="30">
        <v>0.88749999999999996</v>
      </c>
      <c r="V6" s="30">
        <v>0.89027777777777783</v>
      </c>
      <c r="W6" s="35">
        <v>855.9</v>
      </c>
      <c r="X6" s="35">
        <v>14.471</v>
      </c>
      <c r="Y6" s="35">
        <v>-14.68</v>
      </c>
      <c r="Z6" s="35">
        <v>2.7389999999999999</v>
      </c>
      <c r="AA6" s="35">
        <f t="shared" ref="AA6:AA49" si="1">15*($Z6+HOUR(R6)+(MINUTE(R6)/60)-$X6)+$C$13</f>
        <v>112.44000000000003</v>
      </c>
      <c r="AB6" s="35">
        <f t="shared" ref="AB6:AB49" si="2">15*($Z6+HOUR(S6)+(MINUTE(S6)/60)-$X6)+$C$13</f>
        <v>113.44000000000003</v>
      </c>
      <c r="AC6" s="35">
        <f t="shared" ref="AC6:AC49" si="3">15*($Z6+HOUR(T6)+(MINUTE(T6)/60)-$X6)+$C$13</f>
        <v>132.19000000000003</v>
      </c>
      <c r="AD6" s="35">
        <f t="shared" ref="AD6:AD49" si="4">15*($Z6+HOUR(U6)+(MINUTE(U6)/60)-$X6)+$C$13</f>
        <v>150.94</v>
      </c>
      <c r="AE6" s="35">
        <f t="shared" ref="AE6:AE49" si="5">15*($Z6+HOUR(V6)+(MINUTE(V6)/60)-$X6)+$C$13</f>
        <v>151.94</v>
      </c>
      <c r="AF6" s="35">
        <f t="shared" ref="AF6:AF37" si="6">$Z$103*ASIN(SIN($Z$102*$Y6)*SIN($Z$102*$C$12)+COS($Z$102*$Y6)*COS($Z$102*AA6)*COS($Z$102*$C$12))</f>
        <v>-25.981720428757754</v>
      </c>
      <c r="AG6" s="35">
        <f t="shared" ref="AG6:AG37" si="7">IF(SIN($Z$102*AA6)&lt;0,ACOS((SIN($Z$102*$Y6)-SIN($Z$102*AF6)*SIN($Z$102*$C$12))/(COS($Z$102*AF6)*COS($Z$102*$C$12)))/$Z$102,360-ACOS((SIN($Z$102*$Y6)-SIN($Z$102*AF6)*SIN($Z$102*$C$12))/(COS($Z$102*AF6)*COS($Z$102*$C$12)))/$Z$102)</f>
        <v>275.93967934119524</v>
      </c>
      <c r="AH6" s="35">
        <f t="shared" ref="AH6:AH49" si="8">$Z$103*ASIN(SIN($Z$102*$Y6)*SIN($Z$102*$C$12)+COS($Z$102*$Y6)*COS($Z$102*AB6)*COS($Z$102*$C$12))</f>
        <v>-26.666514957934961</v>
      </c>
      <c r="AI6" s="35">
        <f t="shared" ref="AI6:AI49" si="9">IF(SIN($Z$102*AB6)&lt;0,ACOS((SIN($Z$102*$Y6)-SIN($Z$102*AH6)*SIN($Z$102*$C$12))/(COS($Z$102*AH6)*COS($Z$102*$C$12)))/$Z$102,360-ACOS((SIN($Z$102*$Y6)-SIN($Z$102*AH6)*SIN($Z$102*$C$12))/(COS($Z$102*AH6)*COS($Z$102*$C$12)))/$Z$102)</f>
        <v>276.70199107384695</v>
      </c>
      <c r="AJ6" s="35">
        <f t="shared" ref="AJ6:AJ37" si="10">$Z$103*ASIN(SIN($Z$102*$Y6)*SIN($Z$102*$C$12)+COS($Z$102*$Y6)*COS($Z$102*AC6)*COS($Z$102*$C$12))</f>
        <v>-39.1450153755898</v>
      </c>
      <c r="AK6" s="35">
        <f t="shared" ref="AK6:AK37" si="11">IF(SIN($Z$102*AC6)&lt;0,ACOS((SIN($Z$102*$Y6)-SIN($Z$102*AJ6)*SIN($Z$102*$C$12))/(COS($Z$102*AJ6)*COS($Z$102*$C$12)))/$Z$102,360-ACOS((SIN($Z$102*$Y6)-SIN($Z$102*AJ6)*SIN($Z$102*$C$12))/(COS($Z$102*AJ6)*COS($Z$102*$C$12)))/$Z$102)</f>
        <v>292.45749361920366</v>
      </c>
      <c r="AL6" s="35">
        <f t="shared" ref="AL6:AL49" si="12">$Z$103*ASIN(SIN($Z$102*$Y6)*SIN($Z$102*$C$12)+COS($Z$102*$Y6)*COS($Z$102*AD6)*COS($Z$102*$C$12))</f>
        <v>-50.019601803842562</v>
      </c>
      <c r="AM6" s="35">
        <f t="shared" ref="AM6:AM49" si="13">IF(SIN($Z$102*AD6)&lt;0,ACOS((SIN($Z$102*$Y6)-SIN($Z$102*AL6)*SIN($Z$102*$C$12))/(COS($Z$102*AL6)*COS($Z$102*$C$12)))/$Z$102,360-ACOS((SIN($Z$102*$Y6)-SIN($Z$102*AL6)*SIN($Z$102*$C$12))/(COS($Z$102*AL6)*COS($Z$102*$C$12)))/$Z$102)</f>
        <v>313.00575658411185</v>
      </c>
      <c r="AN6" s="35">
        <f t="shared" ref="AN6:AN37" si="14">$Z$103*ASIN(SIN($Z$102*$Y6)*SIN($Z$102*$C$12)+COS($Z$102*$Y6)*COS($Z$102*AE6)*COS($Z$102*$C$12))</f>
        <v>-50.518102501036708</v>
      </c>
      <c r="AO6" s="35">
        <f>IF(SIN($Z$102*AE6)&lt;0,ACOS((SIN($Z$102*$Y6)-SIN($Z$102*AN6)*SIN($Z$102*$C$12))/(COS($Z$102*AN6)*COS($Z$102*$C$12)))/$Z$102,360-ACOS((SIN($Z$102*$Y6)-SIN($Z$102*AN6)*SIN($Z$102*$C$12))/(COS($Z$102*AN6)*COS($Z$102*$C$12)))/$Z$102)</f>
        <v>314.30278775097179</v>
      </c>
      <c r="AP6" s="42"/>
    </row>
    <row r="7" spans="1:42">
      <c r="B7" s="6" t="s">
        <v>6</v>
      </c>
      <c r="C7" s="11" t="str">
        <f>IF(OR(MOD(VALUE(RIGHT($C$6,4)),400)=0,AND(MOD(VALUE(RIGHT($C$6,4)),4)=0,MOD(VALUE(RIGHT($C$6,4)),100)&lt;&gt;0)),"Y", "N")</f>
        <v>N</v>
      </c>
      <c r="D7" s="9"/>
      <c r="E7" s="9"/>
      <c r="F7" s="9"/>
      <c r="G7" s="9"/>
      <c r="H7" s="9"/>
      <c r="I7" s="9"/>
      <c r="J7" s="9"/>
      <c r="K7" s="9"/>
      <c r="L7" s="9"/>
      <c r="M7" s="9"/>
      <c r="N7" s="76"/>
      <c r="O7" s="8" t="str">
        <f t="shared" si="0"/>
        <v/>
      </c>
      <c r="P7" s="34" t="s">
        <v>20</v>
      </c>
      <c r="Q7" s="29">
        <v>5</v>
      </c>
      <c r="R7" s="30">
        <v>0.27847222222222223</v>
      </c>
      <c r="S7" s="30">
        <v>0.28125</v>
      </c>
      <c r="T7" s="30">
        <v>0.42291666666666666</v>
      </c>
      <c r="U7" s="30">
        <v>0.56458333333333333</v>
      </c>
      <c r="V7" s="30">
        <v>0.56736111111111109</v>
      </c>
      <c r="W7" s="35">
        <v>468.4</v>
      </c>
      <c r="X7" s="35">
        <v>2.6659999999999999</v>
      </c>
      <c r="Y7" s="35">
        <v>15.61</v>
      </c>
      <c r="Z7" s="35">
        <v>14.725</v>
      </c>
      <c r="AA7" s="35">
        <f t="shared" si="1"/>
        <v>288.55500000000001</v>
      </c>
      <c r="AB7" s="35">
        <f t="shared" si="2"/>
        <v>289.55500000000001</v>
      </c>
      <c r="AC7" s="35">
        <f t="shared" si="3"/>
        <v>340.55500000000001</v>
      </c>
      <c r="AD7" s="35">
        <f t="shared" si="4"/>
        <v>391.55500000000006</v>
      </c>
      <c r="AE7" s="35">
        <f t="shared" si="5"/>
        <v>392.55500000000006</v>
      </c>
      <c r="AF7" s="35">
        <f t="shared" si="6"/>
        <v>23.965532011300446</v>
      </c>
      <c r="AG7" s="35">
        <f t="shared" si="7"/>
        <v>92.303556193892874</v>
      </c>
      <c r="AH7" s="35">
        <f t="shared" si="8"/>
        <v>24.653765009118271</v>
      </c>
      <c r="AI7" s="35">
        <f t="shared" si="9"/>
        <v>93.042853920526866</v>
      </c>
      <c r="AJ7" s="35">
        <f t="shared" si="10"/>
        <v>55.160234630991077</v>
      </c>
      <c r="AK7" s="35">
        <f t="shared" si="11"/>
        <v>145.85890194062159</v>
      </c>
      <c r="AL7" s="35">
        <f t="shared" si="12"/>
        <v>49.506964944927759</v>
      </c>
      <c r="AM7" s="35">
        <f t="shared" si="13"/>
        <v>230.91182293645028</v>
      </c>
      <c r="AN7" s="35">
        <f t="shared" si="14"/>
        <v>48.967582737207209</v>
      </c>
      <c r="AO7" s="35">
        <f t="shared" ref="AO7:AO70" si="15">IF(SIN($Z$102*AE7)&lt;0,ACOS((SIN($Z$102*$Y7)-SIN($Z$102*AN7)*SIN($Z$102*$C$12))/(COS($Z$102*AN7)*COS($Z$102*$C$12)))/$Z$102,360-ACOS((SIN($Z$102*$Y7)-SIN($Z$102*AN7)*SIN($Z$102*$C$12))/(COS($Z$102*AN7)*COS($Z$102*$C$12)))/$Z$102)</f>
        <v>232.13390453491596</v>
      </c>
      <c r="AP7" s="41"/>
    </row>
    <row r="8" spans="1:42">
      <c r="B8" s="6" t="s">
        <v>7</v>
      </c>
      <c r="C8" s="13">
        <f>INT(275*VALUE(MID($C$6,4,2))/9)-IF(C7="Y",1,2)*INT((VALUE(MID($C$6,4,2))+9)/12)+VALUE(LEFT($C$6,2))-30</f>
        <v>131</v>
      </c>
      <c r="D8" s="10"/>
      <c r="E8" s="10"/>
      <c r="F8" s="10"/>
      <c r="G8" s="10"/>
      <c r="H8" s="10"/>
      <c r="I8" s="10"/>
      <c r="J8" s="10"/>
      <c r="K8" s="10"/>
      <c r="L8" s="10"/>
      <c r="M8" s="10"/>
      <c r="N8" s="77"/>
      <c r="O8" s="8" t="str">
        <f t="shared" si="0"/>
        <v/>
      </c>
      <c r="P8" s="34" t="s">
        <v>21</v>
      </c>
      <c r="Q8" s="29">
        <v>4</v>
      </c>
      <c r="R8" s="30">
        <v>0.46388888888888885</v>
      </c>
      <c r="S8" s="30">
        <v>0.46527777777777773</v>
      </c>
      <c r="T8" s="30">
        <v>0.5708333333333333</v>
      </c>
      <c r="U8" s="30">
        <v>0.67638888888888893</v>
      </c>
      <c r="V8" s="30">
        <v>0.6777777777777777</v>
      </c>
      <c r="W8" s="35">
        <v>352.8</v>
      </c>
      <c r="X8" s="35">
        <v>14.641999999999999</v>
      </c>
      <c r="Y8" s="35">
        <v>-15.49</v>
      </c>
      <c r="Z8" s="35">
        <v>2.9089999999999998</v>
      </c>
      <c r="AA8" s="35">
        <f t="shared" si="1"/>
        <v>-1.5750000000000153</v>
      </c>
      <c r="AB8" s="35">
        <f t="shared" si="2"/>
        <v>-1.0750000000000171</v>
      </c>
      <c r="AC8" s="35">
        <f t="shared" si="3"/>
        <v>36.924999999999983</v>
      </c>
      <c r="AD8" s="35">
        <f t="shared" si="4"/>
        <v>74.925000000000011</v>
      </c>
      <c r="AE8" s="35">
        <f t="shared" si="5"/>
        <v>75.424999999999983</v>
      </c>
      <c r="AF8" s="35">
        <f t="shared" si="6"/>
        <v>28.043714608487821</v>
      </c>
      <c r="AG8" s="35">
        <f t="shared" si="7"/>
        <v>178.28025513402889</v>
      </c>
      <c r="AH8" s="35">
        <f t="shared" si="8"/>
        <v>28.052412718623891</v>
      </c>
      <c r="AI8" s="35">
        <f t="shared" si="9"/>
        <v>178.82612611310276</v>
      </c>
      <c r="AJ8" s="35">
        <f t="shared" si="10"/>
        <v>19.707609690522375</v>
      </c>
      <c r="AK8" s="35">
        <f t="shared" si="11"/>
        <v>217.94964830288842</v>
      </c>
      <c r="AL8" s="35">
        <f t="shared" si="12"/>
        <v>-1.1964329500094333</v>
      </c>
      <c r="AM8" s="35">
        <f t="shared" si="13"/>
        <v>248.54673487154562</v>
      </c>
      <c r="AN8" s="35">
        <f t="shared" si="14"/>
        <v>-1.5174519951603624</v>
      </c>
      <c r="AO8" s="35">
        <f t="shared" si="15"/>
        <v>248.90616195951335</v>
      </c>
      <c r="AP8" s="33"/>
    </row>
    <row r="9" spans="1:42">
      <c r="B9" s="6" t="s">
        <v>8</v>
      </c>
      <c r="C9" s="13" t="str">
        <f>IF(INT(MOD(C10+1.5,7))=1,"Monday",IF(INT(MOD(C10+1.5,7))=2,"Tuesday",IF(INT(MOD(C10+1.5,7))=3,"Wednesday",IF(INT(MOD(C10+1.5,7))=4,"Thursday",IF(INT(MOD(C10+1.5,7))=5,"Friday",IF(INT(MOD(C10+1.5,7))=6,"Saturday","Sunday"))))))</f>
        <v>Tuesday</v>
      </c>
      <c r="D9" s="12"/>
      <c r="E9" s="12"/>
      <c r="F9" s="12"/>
      <c r="G9" s="12"/>
      <c r="H9" s="12"/>
      <c r="I9" s="12"/>
      <c r="J9" s="12"/>
      <c r="K9" s="12"/>
      <c r="L9" s="12"/>
      <c r="M9" s="12"/>
      <c r="N9" s="78"/>
      <c r="O9" s="8" t="str">
        <f t="shared" si="0"/>
        <v/>
      </c>
      <c r="P9" s="34" t="s">
        <v>22</v>
      </c>
      <c r="Q9" s="29">
        <v>3</v>
      </c>
      <c r="R9" s="30">
        <v>0.59722222222222221</v>
      </c>
      <c r="S9" s="30">
        <v>0.59930555555555554</v>
      </c>
      <c r="T9" s="30">
        <v>0.73055555555555562</v>
      </c>
      <c r="U9" s="30">
        <v>0.86111111111111116</v>
      </c>
      <c r="V9" s="30">
        <v>0.86388888888888893</v>
      </c>
      <c r="W9" s="35">
        <v>571</v>
      </c>
      <c r="X9" s="35">
        <v>2.8690000000000002</v>
      </c>
      <c r="Y9" s="35">
        <v>16.52</v>
      </c>
      <c r="Z9" s="35">
        <v>14.933</v>
      </c>
      <c r="AA9" s="35">
        <f t="shared" si="1"/>
        <v>403.38</v>
      </c>
      <c r="AB9" s="35">
        <f t="shared" si="2"/>
        <v>404.13</v>
      </c>
      <c r="AC9" s="35">
        <f t="shared" si="3"/>
        <v>451.38</v>
      </c>
      <c r="AD9" s="35">
        <f t="shared" si="4"/>
        <v>498.38</v>
      </c>
      <c r="AE9" s="35">
        <f t="shared" si="5"/>
        <v>499.38000000000005</v>
      </c>
      <c r="AF9" s="35">
        <f t="shared" si="6"/>
        <v>43.328787800976514</v>
      </c>
      <c r="AG9" s="35">
        <f t="shared" si="7"/>
        <v>244.8527935252292</v>
      </c>
      <c r="AH9" s="35">
        <f t="shared" si="8"/>
        <v>42.859605031052162</v>
      </c>
      <c r="AI9" s="35">
        <f t="shared" si="9"/>
        <v>245.59896761056623</v>
      </c>
      <c r="AJ9" s="35">
        <f t="shared" si="10"/>
        <v>10.963361875736414</v>
      </c>
      <c r="AK9" s="35">
        <f t="shared" si="11"/>
        <v>282.50947674415437</v>
      </c>
      <c r="AL9" s="35">
        <f t="shared" si="12"/>
        <v>-16.721075102877755</v>
      </c>
      <c r="AM9" s="35">
        <f t="shared" si="13"/>
        <v>318.32662276951692</v>
      </c>
      <c r="AN9" s="35">
        <f t="shared" si="14"/>
        <v>-17.175194064169538</v>
      </c>
      <c r="AO9" s="35">
        <f t="shared" si="15"/>
        <v>319.20930756255365</v>
      </c>
      <c r="AP9" s="33"/>
    </row>
    <row r="10" spans="1:42">
      <c r="B10" s="6" t="s">
        <v>9</v>
      </c>
      <c r="C10" s="15">
        <f>367*VALUE(RIGHT($C$6,4))-INT(7/4*VALUE(RIGHT($C$6,4)))-INT(3*(INT((VALUE(RIGHT($C$6,4))-8/7)/100)+1)/4)+1721059.5-1+C8</f>
        <v>2428664.5</v>
      </c>
      <c r="D10" s="14"/>
      <c r="E10" s="14"/>
      <c r="F10" s="14"/>
      <c r="G10" s="14"/>
      <c r="H10" s="14"/>
      <c r="I10" s="14"/>
      <c r="J10" s="14"/>
      <c r="K10" s="14"/>
      <c r="L10" s="14"/>
      <c r="M10" s="14"/>
      <c r="N10" s="79"/>
      <c r="O10" s="8" t="str">
        <f t="shared" si="0"/>
        <v/>
      </c>
      <c r="P10" s="34" t="s">
        <v>23</v>
      </c>
      <c r="Q10" s="29">
        <v>2</v>
      </c>
      <c r="R10" s="30">
        <v>0.19305555555555554</v>
      </c>
      <c r="S10" s="30">
        <v>0.19444444444444445</v>
      </c>
      <c r="T10" s="30">
        <v>0.30625000000000002</v>
      </c>
      <c r="U10" s="30">
        <v>0.41805555555555557</v>
      </c>
      <c r="V10" s="30">
        <v>0.41875000000000001</v>
      </c>
      <c r="W10" s="35">
        <v>146.4</v>
      </c>
      <c r="X10" s="35">
        <v>14.814</v>
      </c>
      <c r="Y10" s="35">
        <v>-16.27</v>
      </c>
      <c r="Z10" s="35">
        <v>3.0790000000000002</v>
      </c>
      <c r="AA10" s="35">
        <f t="shared" si="1"/>
        <v>-99.105000000000004</v>
      </c>
      <c r="AB10" s="35">
        <f t="shared" si="2"/>
        <v>-98.60499999999999</v>
      </c>
      <c r="AC10" s="35">
        <f t="shared" si="3"/>
        <v>-58.35499999999999</v>
      </c>
      <c r="AD10" s="35">
        <f t="shared" si="4"/>
        <v>-18.10499999999999</v>
      </c>
      <c r="AE10" s="35">
        <f t="shared" si="5"/>
        <v>-17.854999999999983</v>
      </c>
      <c r="AF10" s="35">
        <f t="shared" si="6"/>
        <v>-17.921725215782502</v>
      </c>
      <c r="AG10" s="35">
        <f t="shared" si="7"/>
        <v>95.00028414709378</v>
      </c>
      <c r="AH10" s="35">
        <f t="shared" si="8"/>
        <v>-17.578637140239664</v>
      </c>
      <c r="AI10" s="35">
        <f t="shared" si="9"/>
        <v>95.352722497502086</v>
      </c>
      <c r="AJ10" s="35">
        <f t="shared" si="10"/>
        <v>8.2763884255197002</v>
      </c>
      <c r="AK10" s="35">
        <f t="shared" si="11"/>
        <v>124.32802625990251</v>
      </c>
      <c r="AL10" s="35">
        <f t="shared" si="12"/>
        <v>25.188189400716894</v>
      </c>
      <c r="AM10" s="35">
        <f t="shared" si="13"/>
        <v>160.75186597085982</v>
      </c>
      <c r="AN10" s="35">
        <f t="shared" si="14"/>
        <v>25.244606263753905</v>
      </c>
      <c r="AO10" s="35">
        <f t="shared" si="15"/>
        <v>161.00969862399702</v>
      </c>
      <c r="AP10" s="33"/>
    </row>
    <row r="11" spans="1:42">
      <c r="B11" s="38" t="s">
        <v>10</v>
      </c>
      <c r="C11" s="39" t="s">
        <v>18</v>
      </c>
      <c r="D11" s="94" t="s">
        <v>137</v>
      </c>
      <c r="E11" s="14"/>
      <c r="F11" s="14"/>
      <c r="G11" s="14"/>
      <c r="H11" s="14"/>
      <c r="I11" s="14"/>
      <c r="J11" s="14"/>
      <c r="K11" s="14"/>
      <c r="L11" s="14"/>
      <c r="M11" s="14"/>
      <c r="N11" s="79"/>
      <c r="O11" s="8" t="str">
        <f t="shared" si="0"/>
        <v/>
      </c>
      <c r="P11" s="34" t="s">
        <v>24</v>
      </c>
      <c r="Q11" s="29">
        <v>1</v>
      </c>
      <c r="R11" s="30">
        <v>0.95347222222222217</v>
      </c>
      <c r="S11" s="30">
        <v>0.95486111111111116</v>
      </c>
      <c r="T11" s="30">
        <v>3.9583333333333331E-2</v>
      </c>
      <c r="U11" s="30">
        <v>0.12361111111111112</v>
      </c>
      <c r="V11" s="30">
        <v>0.125</v>
      </c>
      <c r="W11" s="35">
        <v>641.1</v>
      </c>
      <c r="X11" s="35">
        <v>14.987</v>
      </c>
      <c r="Y11" s="35">
        <v>-17.02</v>
      </c>
      <c r="Z11" s="35">
        <v>3.2490000000000001</v>
      </c>
      <c r="AA11" s="35">
        <f t="shared" si="1"/>
        <v>174.59999999999997</v>
      </c>
      <c r="AB11" s="35">
        <f t="shared" si="2"/>
        <v>175.1</v>
      </c>
      <c r="AC11" s="35">
        <f t="shared" si="3"/>
        <v>-154.4</v>
      </c>
      <c r="AD11" s="35">
        <f t="shared" si="4"/>
        <v>-124.14999999999999</v>
      </c>
      <c r="AE11" s="35">
        <f t="shared" si="5"/>
        <v>-123.64999999999999</v>
      </c>
      <c r="AF11" s="35">
        <f t="shared" si="6"/>
        <v>-60.230839738567703</v>
      </c>
      <c r="AG11" s="35">
        <f t="shared" si="7"/>
        <v>349.55803782195835</v>
      </c>
      <c r="AH11" s="35">
        <f t="shared" si="8"/>
        <v>-60.290447037160938</v>
      </c>
      <c r="AI11" s="35">
        <f t="shared" si="9"/>
        <v>350.51433304692642</v>
      </c>
      <c r="AJ11" s="35">
        <f t="shared" si="10"/>
        <v>-53.734324177261591</v>
      </c>
      <c r="AK11" s="35">
        <f t="shared" si="11"/>
        <v>44.303756420719218</v>
      </c>
      <c r="AL11" s="35">
        <f t="shared" si="12"/>
        <v>-35.589679705064484</v>
      </c>
      <c r="AM11" s="35">
        <f t="shared" si="13"/>
        <v>76.678836464643453</v>
      </c>
      <c r="AN11" s="35">
        <f t="shared" si="14"/>
        <v>-35.254168228571352</v>
      </c>
      <c r="AO11" s="35">
        <f t="shared" si="15"/>
        <v>77.096808550764337</v>
      </c>
      <c r="AP11" s="33"/>
    </row>
    <row r="12" spans="1:42">
      <c r="B12" s="18" t="s">
        <v>11</v>
      </c>
      <c r="C12" s="40">
        <f>VLOOKUP(C11,$B$18:$D$22,2,FALSE)</f>
        <v>46.45</v>
      </c>
      <c r="D12" s="16"/>
      <c r="E12" s="16"/>
      <c r="F12" s="16"/>
      <c r="G12" s="16"/>
      <c r="H12" s="16"/>
      <c r="I12" s="16"/>
      <c r="J12" s="16"/>
      <c r="K12" s="16"/>
      <c r="L12" s="16"/>
      <c r="M12" s="16"/>
      <c r="N12" s="80"/>
      <c r="O12" s="8" t="str">
        <f t="shared" si="0"/>
        <v/>
      </c>
      <c r="P12" s="34" t="s">
        <v>25</v>
      </c>
      <c r="Q12" s="29">
        <v>6</v>
      </c>
      <c r="R12" s="30">
        <v>0.96319444444444446</v>
      </c>
      <c r="S12" s="30">
        <v>0.96527777777777779</v>
      </c>
      <c r="T12" s="30">
        <v>3.6111111111111115E-2</v>
      </c>
      <c r="U12" s="30">
        <v>0.1076388888888889</v>
      </c>
      <c r="V12" s="30">
        <v>0.10972222222222222</v>
      </c>
      <c r="W12" s="35">
        <v>750.7</v>
      </c>
      <c r="X12" s="35">
        <v>14.54</v>
      </c>
      <c r="Y12" s="35">
        <v>-15.01</v>
      </c>
      <c r="Z12" s="35">
        <v>2.8090000000000002</v>
      </c>
      <c r="AA12" s="35">
        <f t="shared" si="1"/>
        <v>178.20500000000001</v>
      </c>
      <c r="AB12" s="35">
        <f t="shared" si="2"/>
        <v>178.95500000000004</v>
      </c>
      <c r="AC12" s="35">
        <f t="shared" si="3"/>
        <v>-155.54500000000002</v>
      </c>
      <c r="AD12" s="35">
        <f t="shared" si="4"/>
        <v>-129.79499999999999</v>
      </c>
      <c r="AE12" s="35">
        <f t="shared" si="5"/>
        <v>-129.04499999999999</v>
      </c>
      <c r="AF12" s="35">
        <f t="shared" si="6"/>
        <v>-58.524148180104689</v>
      </c>
      <c r="AG12" s="35">
        <f t="shared" si="7"/>
        <v>356.67819659028311</v>
      </c>
      <c r="AH12" s="35">
        <f t="shared" si="8"/>
        <v>-58.547844154165325</v>
      </c>
      <c r="AI12" s="35">
        <f t="shared" si="9"/>
        <v>358.06533643891021</v>
      </c>
      <c r="AJ12" s="35">
        <f t="shared" si="10"/>
        <v>-52.512344947396926</v>
      </c>
      <c r="AK12" s="35">
        <f t="shared" si="11"/>
        <v>41.072699991467978</v>
      </c>
      <c r="AL12" s="35">
        <f t="shared" si="12"/>
        <v>-37.853356312566881</v>
      </c>
      <c r="AM12" s="35">
        <f t="shared" si="13"/>
        <v>70.033541297716098</v>
      </c>
      <c r="AN12" s="35">
        <f t="shared" si="14"/>
        <v>-37.366642384370977</v>
      </c>
      <c r="AO12" s="35">
        <f t="shared" si="15"/>
        <v>70.7108465018121</v>
      </c>
      <c r="AP12" s="33"/>
    </row>
    <row r="13" spans="1:42" s="1" customFormat="1">
      <c r="A13" s="22"/>
      <c r="B13" s="6" t="s">
        <v>12</v>
      </c>
      <c r="C13" s="40">
        <f>VLOOKUP(C11,$B$18:$D$22,3,FALSE)</f>
        <v>7.42</v>
      </c>
      <c r="D13" s="16"/>
      <c r="E13" s="16"/>
      <c r="F13" s="16"/>
      <c r="G13" s="16"/>
      <c r="H13" s="16"/>
      <c r="I13" s="16"/>
      <c r="J13" s="16"/>
      <c r="K13" s="16"/>
      <c r="L13" s="16"/>
      <c r="M13" s="16"/>
      <c r="N13" s="80"/>
      <c r="O13" s="8" t="str">
        <f t="shared" si="0"/>
        <v/>
      </c>
      <c r="P13" s="34" t="s">
        <v>26</v>
      </c>
      <c r="Q13" s="29">
        <v>5</v>
      </c>
      <c r="R13" s="30">
        <v>0.54513888888888895</v>
      </c>
      <c r="S13" s="30">
        <v>0.54722222222222217</v>
      </c>
      <c r="T13" s="30">
        <v>0.70416666666666661</v>
      </c>
      <c r="U13" s="30">
        <v>0.86111111111111116</v>
      </c>
      <c r="V13" s="30">
        <v>0.86319444444444438</v>
      </c>
      <c r="W13" s="35">
        <v>263.2</v>
      </c>
      <c r="X13" s="35">
        <v>2.74</v>
      </c>
      <c r="Y13" s="35">
        <v>15.94</v>
      </c>
      <c r="Z13" s="35">
        <v>14.8</v>
      </c>
      <c r="AA13" s="35">
        <f t="shared" si="1"/>
        <v>384.57</v>
      </c>
      <c r="AB13" s="35">
        <f t="shared" si="2"/>
        <v>385.32000000000005</v>
      </c>
      <c r="AC13" s="35">
        <f t="shared" si="3"/>
        <v>441.82000000000005</v>
      </c>
      <c r="AD13" s="35">
        <f t="shared" si="4"/>
        <v>498.31999999999988</v>
      </c>
      <c r="AE13" s="35">
        <f t="shared" si="5"/>
        <v>499.07</v>
      </c>
      <c r="AF13" s="35">
        <f t="shared" si="6"/>
        <v>53.278775019878118</v>
      </c>
      <c r="AG13" s="35">
        <f t="shared" si="7"/>
        <v>221.96505304879076</v>
      </c>
      <c r="AH13" s="35">
        <f t="shared" si="8"/>
        <v>52.929729089776266</v>
      </c>
      <c r="AI13" s="35">
        <f t="shared" si="9"/>
        <v>223.01621354871736</v>
      </c>
      <c r="AJ13" s="35">
        <f t="shared" si="10"/>
        <v>17.056050344074986</v>
      </c>
      <c r="AK13" s="35">
        <f t="shared" si="11"/>
        <v>275.40539267700035</v>
      </c>
      <c r="AL13" s="35">
        <f t="shared" si="12"/>
        <v>-17.202720596202745</v>
      </c>
      <c r="AM13" s="35">
        <f t="shared" si="13"/>
        <v>317.98346144393093</v>
      </c>
      <c r="AN13" s="35">
        <f t="shared" si="14"/>
        <v>-17.546367008537413</v>
      </c>
      <c r="AO13" s="35">
        <f t="shared" si="15"/>
        <v>318.6477947575695</v>
      </c>
      <c r="AP13" s="33"/>
    </row>
    <row r="14" spans="1:42" s="1" customFormat="1">
      <c r="A14" s="22"/>
      <c r="B14" s="21"/>
      <c r="C14" s="36"/>
      <c r="D14" s="17"/>
      <c r="E14" s="17"/>
      <c r="F14" s="17"/>
      <c r="G14" s="17"/>
      <c r="H14" s="17"/>
      <c r="I14" s="17"/>
      <c r="J14" s="17"/>
      <c r="K14" s="17"/>
      <c r="L14" s="17"/>
      <c r="M14" s="17"/>
      <c r="N14" s="81"/>
      <c r="O14" s="8" t="str">
        <f t="shared" si="0"/>
        <v/>
      </c>
      <c r="P14" s="34" t="s">
        <v>27</v>
      </c>
      <c r="Q14" s="29">
        <v>4</v>
      </c>
      <c r="R14" s="30">
        <v>0.66180555555555554</v>
      </c>
      <c r="S14" s="30">
        <v>0.66249999999999998</v>
      </c>
      <c r="T14" s="30">
        <v>0.77222222222222225</v>
      </c>
      <c r="U14" s="30">
        <v>0.88194444444444453</v>
      </c>
      <c r="V14" s="30">
        <v>0.88263888888888886</v>
      </c>
      <c r="W14" s="35">
        <v>250.4</v>
      </c>
      <c r="X14" s="35">
        <v>14.711</v>
      </c>
      <c r="Y14" s="35">
        <v>-15.81</v>
      </c>
      <c r="Z14" s="35">
        <v>2.9790000000000001</v>
      </c>
      <c r="AA14" s="35">
        <f t="shared" si="1"/>
        <v>69.689999999999969</v>
      </c>
      <c r="AB14" s="35">
        <f t="shared" si="2"/>
        <v>69.939999999999955</v>
      </c>
      <c r="AC14" s="35">
        <f t="shared" si="3"/>
        <v>109.44000000000001</v>
      </c>
      <c r="AD14" s="35">
        <f t="shared" si="4"/>
        <v>148.94</v>
      </c>
      <c r="AE14" s="35">
        <f t="shared" si="5"/>
        <v>149.18999999999997</v>
      </c>
      <c r="AF14" s="35">
        <f t="shared" si="6"/>
        <v>1.8702960787228011</v>
      </c>
      <c r="AG14" s="35">
        <f t="shared" si="7"/>
        <v>244.53281666109402</v>
      </c>
      <c r="AH14" s="35">
        <f t="shared" si="8"/>
        <v>1.7146678143162646</v>
      </c>
      <c r="AI14" s="35">
        <f t="shared" si="9"/>
        <v>244.71632021206784</v>
      </c>
      <c r="AJ14" s="35">
        <f t="shared" si="10"/>
        <v>-24.714501682845277</v>
      </c>
      <c r="AK14" s="35">
        <f t="shared" si="11"/>
        <v>272.80031351542902</v>
      </c>
      <c r="AL14" s="35">
        <f t="shared" si="12"/>
        <v>-49.937379884466196</v>
      </c>
      <c r="AM14" s="35">
        <f t="shared" si="13"/>
        <v>309.53058898143729</v>
      </c>
      <c r="AN14" s="35">
        <f t="shared" si="14"/>
        <v>-50.06993205554113</v>
      </c>
      <c r="AO14" s="35">
        <f t="shared" si="15"/>
        <v>309.84288652674968</v>
      </c>
      <c r="AP14" s="33"/>
    </row>
    <row r="15" spans="1:42" s="1" customFormat="1">
      <c r="A15" s="22"/>
      <c r="B15" s="37"/>
      <c r="C15" s="20"/>
      <c r="D15" s="19"/>
      <c r="E15" s="19"/>
      <c r="F15" s="19"/>
      <c r="G15" s="19"/>
      <c r="H15" s="19"/>
      <c r="I15" s="19"/>
      <c r="J15" s="19"/>
      <c r="K15" s="19"/>
      <c r="L15" s="19"/>
      <c r="M15" s="19"/>
      <c r="N15" s="82"/>
      <c r="O15" s="8" t="str">
        <f t="shared" si="0"/>
        <v/>
      </c>
      <c r="P15" s="34" t="s">
        <v>28</v>
      </c>
      <c r="Q15" s="29">
        <v>3</v>
      </c>
      <c r="R15" s="30">
        <v>0.91388888888888886</v>
      </c>
      <c r="S15" s="30">
        <v>0.91736111111111107</v>
      </c>
      <c r="T15" s="30">
        <v>1.1111111111111112E-2</v>
      </c>
      <c r="U15" s="30">
        <v>0.10486111111111111</v>
      </c>
      <c r="V15" s="30">
        <v>0.10902777777777778</v>
      </c>
      <c r="W15" s="35">
        <v>775.4</v>
      </c>
      <c r="X15" s="35">
        <v>2.9430000000000001</v>
      </c>
      <c r="Y15" s="35">
        <v>16.84</v>
      </c>
      <c r="Z15" s="35">
        <v>15.007999999999999</v>
      </c>
      <c r="AA15" s="35">
        <f t="shared" si="1"/>
        <v>517.39499999999987</v>
      </c>
      <c r="AB15" s="35">
        <f t="shared" si="2"/>
        <v>518.64499999999998</v>
      </c>
      <c r="AC15" s="35">
        <f t="shared" si="3"/>
        <v>192.39499999999998</v>
      </c>
      <c r="AD15" s="35">
        <f t="shared" si="4"/>
        <v>226.14499999999995</v>
      </c>
      <c r="AE15" s="35">
        <f t="shared" si="5"/>
        <v>227.64499999999998</v>
      </c>
      <c r="AF15" s="35">
        <f t="shared" si="6"/>
        <v>-23.504082021281</v>
      </c>
      <c r="AG15" s="35">
        <f t="shared" si="7"/>
        <v>336.34816165055963</v>
      </c>
      <c r="AH15" s="35">
        <f t="shared" si="8"/>
        <v>-23.840943728171624</v>
      </c>
      <c r="AI15" s="35">
        <f t="shared" si="9"/>
        <v>337.60163251577956</v>
      </c>
      <c r="AJ15" s="35">
        <f t="shared" si="10"/>
        <v>-25.728293349113418</v>
      </c>
      <c r="AK15" s="35">
        <f t="shared" si="11"/>
        <v>13.182529743085503</v>
      </c>
      <c r="AL15" s="35">
        <f t="shared" si="12"/>
        <v>-14.29520574529416</v>
      </c>
      <c r="AM15" s="35">
        <f t="shared" si="13"/>
        <v>45.416333768380582</v>
      </c>
      <c r="AN15" s="35">
        <f t="shared" si="14"/>
        <v>-13.551170615002947</v>
      </c>
      <c r="AO15" s="35">
        <f t="shared" si="15"/>
        <v>46.681343074128108</v>
      </c>
      <c r="AP15" s="33"/>
    </row>
    <row r="16" spans="1:42" s="1" customFormat="1" ht="16" customHeight="1">
      <c r="A16" s="22"/>
      <c r="B16" s="114" t="s">
        <v>14</v>
      </c>
      <c r="C16" s="114"/>
      <c r="D16" s="114"/>
      <c r="E16" s="59"/>
      <c r="F16" s="59"/>
      <c r="G16" s="59"/>
      <c r="H16" s="59"/>
      <c r="I16" s="59"/>
      <c r="J16" s="59"/>
      <c r="K16" s="59"/>
      <c r="L16" s="59"/>
      <c r="M16" s="59"/>
      <c r="N16" s="83"/>
      <c r="O16" s="8" t="str">
        <f t="shared" si="0"/>
        <v/>
      </c>
      <c r="P16" s="34" t="s">
        <v>29</v>
      </c>
      <c r="Q16" s="29">
        <v>2</v>
      </c>
      <c r="R16" s="30">
        <v>0.3972222222222222</v>
      </c>
      <c r="S16" s="30">
        <v>0.39861111111111108</v>
      </c>
      <c r="T16" s="30">
        <v>0.50763888888888886</v>
      </c>
      <c r="U16" s="30">
        <v>0.6166666666666667</v>
      </c>
      <c r="V16" s="30">
        <v>0.61805555555555558</v>
      </c>
      <c r="W16" s="35">
        <v>248.7</v>
      </c>
      <c r="X16" s="35">
        <v>14.884</v>
      </c>
      <c r="Y16" s="35">
        <v>-16.579999999999998</v>
      </c>
      <c r="Z16" s="35">
        <v>3.149</v>
      </c>
      <c r="AA16" s="35">
        <f t="shared" si="1"/>
        <v>-25.60499999999999</v>
      </c>
      <c r="AB16" s="35">
        <f t="shared" si="2"/>
        <v>-25.10499999999999</v>
      </c>
      <c r="AC16" s="35">
        <f t="shared" si="3"/>
        <v>14.145000000000012</v>
      </c>
      <c r="AD16" s="35">
        <f t="shared" si="4"/>
        <v>53.395000000000024</v>
      </c>
      <c r="AE16" s="35">
        <f t="shared" si="5"/>
        <v>53.894999999999996</v>
      </c>
      <c r="AF16" s="35">
        <f t="shared" si="6"/>
        <v>22.872080417365066</v>
      </c>
      <c r="AG16" s="35">
        <f t="shared" si="7"/>
        <v>153.28574602013001</v>
      </c>
      <c r="AH16" s="35">
        <f t="shared" si="8"/>
        <v>23.025619508902906</v>
      </c>
      <c r="AI16" s="35">
        <f t="shared" si="9"/>
        <v>153.77871115613303</v>
      </c>
      <c r="AJ16" s="35">
        <f t="shared" si="10"/>
        <v>25.69005193571715</v>
      </c>
      <c r="AK16" s="35">
        <f t="shared" si="11"/>
        <v>195.06456013819783</v>
      </c>
      <c r="AL16" s="35">
        <f t="shared" si="12"/>
        <v>10.774317481526175</v>
      </c>
      <c r="AM16" s="35">
        <f t="shared" si="13"/>
        <v>231.55405255910171</v>
      </c>
      <c r="AN16" s="35">
        <f t="shared" si="14"/>
        <v>10.503761261470688</v>
      </c>
      <c r="AO16" s="35">
        <f t="shared" si="15"/>
        <v>231.95649928123251</v>
      </c>
      <c r="AP16" s="33"/>
    </row>
    <row r="17" spans="1:42" s="1" customFormat="1" ht="16" customHeight="1">
      <c r="A17" s="22"/>
      <c r="B17" s="66" t="s">
        <v>15</v>
      </c>
      <c r="C17" s="67" t="s">
        <v>16</v>
      </c>
      <c r="D17" s="68" t="s">
        <v>17</v>
      </c>
      <c r="E17" s="31"/>
      <c r="F17" s="31"/>
      <c r="G17" s="31"/>
      <c r="H17" s="31"/>
      <c r="I17" s="31"/>
      <c r="J17" s="31"/>
      <c r="K17" s="31"/>
      <c r="L17" s="31"/>
      <c r="M17" s="31"/>
      <c r="N17" s="84"/>
      <c r="O17" s="8" t="str">
        <f t="shared" si="0"/>
        <v/>
      </c>
      <c r="P17" s="34" t="s">
        <v>30</v>
      </c>
      <c r="Q17" s="29">
        <v>1</v>
      </c>
      <c r="R17" s="30">
        <v>0.16458333333333333</v>
      </c>
      <c r="S17" s="30">
        <v>0.16597222222222222</v>
      </c>
      <c r="T17" s="30">
        <v>0.23819444444444446</v>
      </c>
      <c r="U17" s="30">
        <v>0.31041666666666667</v>
      </c>
      <c r="V17" s="30">
        <v>0.31180555555555556</v>
      </c>
      <c r="W17" s="35">
        <v>742.1</v>
      </c>
      <c r="X17" s="35">
        <v>15.057</v>
      </c>
      <c r="Y17" s="35">
        <v>-17.32</v>
      </c>
      <c r="Z17" s="35">
        <v>3.3180000000000001</v>
      </c>
      <c r="AA17" s="35">
        <f t="shared" si="1"/>
        <v>-109.41500000000001</v>
      </c>
      <c r="AB17" s="35">
        <f t="shared" si="2"/>
        <v>-108.91500000000001</v>
      </c>
      <c r="AC17" s="35">
        <f t="shared" si="3"/>
        <v>-82.915000000000006</v>
      </c>
      <c r="AD17" s="35">
        <f t="shared" si="4"/>
        <v>-56.91500000000002</v>
      </c>
      <c r="AE17" s="35">
        <f t="shared" si="5"/>
        <v>-56.41500000000002</v>
      </c>
      <c r="AF17" s="35">
        <f t="shared" si="6"/>
        <v>-25.747831992433877</v>
      </c>
      <c r="AG17" s="35">
        <f t="shared" si="7"/>
        <v>88.417189172212261</v>
      </c>
      <c r="AH17" s="35">
        <f t="shared" si="8"/>
        <v>-25.403441681234497</v>
      </c>
      <c r="AI17" s="35">
        <f t="shared" si="9"/>
        <v>88.783604046469208</v>
      </c>
      <c r="AJ17" s="35">
        <f t="shared" si="10"/>
        <v>-7.7379981837360026</v>
      </c>
      <c r="AK17" s="35">
        <f t="shared" si="11"/>
        <v>107.04529682648416</v>
      </c>
      <c r="AL17" s="35">
        <f t="shared" si="12"/>
        <v>8.2377756395014892</v>
      </c>
      <c r="AM17" s="35">
        <f t="shared" si="13"/>
        <v>126.07863167774018</v>
      </c>
      <c r="AN17" s="35">
        <f t="shared" si="14"/>
        <v>8.5155022220108751</v>
      </c>
      <c r="AO17" s="35">
        <f t="shared" si="15"/>
        <v>126.47103252936526</v>
      </c>
      <c r="AP17" s="33"/>
    </row>
    <row r="18" spans="1:42" s="1" customFormat="1" ht="16" customHeight="1">
      <c r="A18" s="22"/>
      <c r="B18" s="23" t="s">
        <v>18</v>
      </c>
      <c r="C18" s="24">
        <v>46.45</v>
      </c>
      <c r="D18" s="24">
        <v>7.42</v>
      </c>
      <c r="E18" s="32"/>
      <c r="F18" s="32"/>
      <c r="G18" s="32"/>
      <c r="H18" s="32"/>
      <c r="I18" s="32"/>
      <c r="J18" s="32"/>
      <c r="K18" s="32"/>
      <c r="L18" s="32"/>
      <c r="M18" s="32"/>
      <c r="N18" s="85"/>
      <c r="O18" s="8" t="str">
        <f t="shared" si="0"/>
        <v/>
      </c>
      <c r="P18" s="34" t="s">
        <v>31</v>
      </c>
      <c r="Q18" s="29">
        <v>6</v>
      </c>
      <c r="R18" s="30">
        <v>0.15138888888888888</v>
      </c>
      <c r="S18" s="30">
        <v>0.15277777777777776</v>
      </c>
      <c r="T18" s="30">
        <v>0.23749999999999999</v>
      </c>
      <c r="U18" s="30">
        <v>0.3215277777777778</v>
      </c>
      <c r="V18" s="30">
        <v>0.32291666666666669</v>
      </c>
      <c r="W18" s="35">
        <v>647.1</v>
      </c>
      <c r="X18" s="35">
        <v>14.61</v>
      </c>
      <c r="Y18" s="35">
        <v>-15.33</v>
      </c>
      <c r="Z18" s="35">
        <v>2.8780000000000001</v>
      </c>
      <c r="AA18" s="35">
        <f t="shared" si="1"/>
        <v>-114.05999999999999</v>
      </c>
      <c r="AB18" s="35">
        <f t="shared" si="2"/>
        <v>-113.55999999999997</v>
      </c>
      <c r="AC18" s="35">
        <f t="shared" si="3"/>
        <v>-83.06</v>
      </c>
      <c r="AD18" s="35">
        <f t="shared" si="4"/>
        <v>-52.809999999999988</v>
      </c>
      <c r="AE18" s="35">
        <f t="shared" si="5"/>
        <v>-52.309999999999988</v>
      </c>
      <c r="AF18" s="35">
        <f t="shared" si="6"/>
        <v>-27.549517967685517</v>
      </c>
      <c r="AG18" s="35">
        <f t="shared" si="7"/>
        <v>83.340552303652203</v>
      </c>
      <c r="AH18" s="35">
        <f t="shared" si="8"/>
        <v>-27.20721772561901</v>
      </c>
      <c r="AI18" s="35">
        <f t="shared" si="9"/>
        <v>83.723037608951969</v>
      </c>
      <c r="AJ18" s="35">
        <f t="shared" si="10"/>
        <v>-6.3917614928547142</v>
      </c>
      <c r="AK18" s="35">
        <f t="shared" si="11"/>
        <v>105.56188791417799</v>
      </c>
      <c r="AL18" s="35">
        <f t="shared" si="12"/>
        <v>12.12428341455667</v>
      </c>
      <c r="AM18" s="35">
        <f t="shared" si="13"/>
        <v>128.20354118839634</v>
      </c>
      <c r="AN18" s="35">
        <f t="shared" si="14"/>
        <v>12.394230896412409</v>
      </c>
      <c r="AO18" s="35">
        <f t="shared" si="15"/>
        <v>128.61243335320231</v>
      </c>
      <c r="AP18" s="33"/>
    </row>
    <row r="19" spans="1:42" s="1" customFormat="1" ht="16" customHeight="1">
      <c r="A19" s="22"/>
      <c r="B19" s="23" t="s">
        <v>135</v>
      </c>
      <c r="C19" s="24">
        <v>51.493400000000001</v>
      </c>
      <c r="D19" s="24">
        <v>9.7999999999999997E-3</v>
      </c>
      <c r="E19" s="32"/>
      <c r="F19" s="32"/>
      <c r="G19" s="32"/>
      <c r="H19" s="32"/>
      <c r="I19" s="32"/>
      <c r="J19" s="32"/>
      <c r="K19" s="32"/>
      <c r="L19" s="32"/>
      <c r="M19" s="32"/>
      <c r="N19" s="85"/>
      <c r="O19" s="8" t="str">
        <f t="shared" si="0"/>
        <v/>
      </c>
      <c r="P19" s="34" t="s">
        <v>32</v>
      </c>
      <c r="Q19" s="29">
        <v>5</v>
      </c>
      <c r="R19" s="30">
        <v>0.81458333333333333</v>
      </c>
      <c r="S19" s="30">
        <v>0.81736111111111109</v>
      </c>
      <c r="T19" s="30">
        <v>0.98055555555555562</v>
      </c>
      <c r="U19" s="30">
        <v>0.14374999999999999</v>
      </c>
      <c r="V19" s="30">
        <v>0.14583333333333334</v>
      </c>
      <c r="W19" s="35">
        <v>64.5</v>
      </c>
      <c r="X19" s="35">
        <v>2.8130000000000002</v>
      </c>
      <c r="Y19" s="35">
        <v>16.27</v>
      </c>
      <c r="Z19" s="35">
        <v>14.875</v>
      </c>
      <c r="AA19" s="35">
        <f t="shared" si="1"/>
        <v>481.59999999999997</v>
      </c>
      <c r="AB19" s="35">
        <f t="shared" si="2"/>
        <v>482.6</v>
      </c>
      <c r="AC19" s="35">
        <f t="shared" si="3"/>
        <v>541.34999999999991</v>
      </c>
      <c r="AD19" s="35">
        <f t="shared" si="4"/>
        <v>240.09999999999997</v>
      </c>
      <c r="AE19" s="35">
        <f t="shared" si="5"/>
        <v>240.84999999999997</v>
      </c>
      <c r="AF19" s="35">
        <f t="shared" si="6"/>
        <v>-8.2507789063154267</v>
      </c>
      <c r="AG19" s="35">
        <f t="shared" si="7"/>
        <v>304.29287325763073</v>
      </c>
      <c r="AH19" s="35">
        <f t="shared" si="8"/>
        <v>-8.8173290795383839</v>
      </c>
      <c r="AI19" s="35">
        <f t="shared" si="9"/>
        <v>305.07648994933254</v>
      </c>
      <c r="AJ19" s="35">
        <f t="shared" si="10"/>
        <v>-27.268165782428547</v>
      </c>
      <c r="AK19" s="35">
        <f t="shared" si="11"/>
        <v>1.4579775431425612</v>
      </c>
      <c r="AL19" s="35">
        <f t="shared" si="12"/>
        <v>-7.2755729481160936</v>
      </c>
      <c r="AM19" s="35">
        <f t="shared" si="13"/>
        <v>57.027726050280926</v>
      </c>
      <c r="AN19" s="35">
        <f t="shared" si="14"/>
        <v>-6.8406492057023121</v>
      </c>
      <c r="AO19" s="35">
        <f t="shared" si="15"/>
        <v>57.605858579283556</v>
      </c>
      <c r="AP19" s="33"/>
    </row>
    <row r="20" spans="1:42" s="1" customFormat="1">
      <c r="A20" s="22"/>
      <c r="B20" s="23"/>
      <c r="C20" s="24"/>
      <c r="D20" s="24"/>
      <c r="E20" s="32"/>
      <c r="F20" s="32"/>
      <c r="G20" s="32"/>
      <c r="H20" s="32"/>
      <c r="I20" s="32"/>
      <c r="J20" s="32"/>
      <c r="K20" s="32"/>
      <c r="L20" s="32"/>
      <c r="M20" s="32"/>
      <c r="N20" s="85"/>
      <c r="O20" s="8" t="str">
        <f t="shared" si="0"/>
        <v/>
      </c>
      <c r="P20" s="34" t="s">
        <v>33</v>
      </c>
      <c r="Q20" s="29">
        <v>4</v>
      </c>
      <c r="R20" s="30">
        <v>0.86041666666666661</v>
      </c>
      <c r="S20" s="30">
        <v>0.86111111111111116</v>
      </c>
      <c r="T20" s="30">
        <v>0.97361111111111109</v>
      </c>
      <c r="U20" s="30">
        <v>8.5416666666666655E-2</v>
      </c>
      <c r="V20" s="30">
        <v>8.6805555555555566E-2</v>
      </c>
      <c r="W20" s="35">
        <v>145.19999999999999</v>
      </c>
      <c r="X20" s="35">
        <v>14.781000000000001</v>
      </c>
      <c r="Y20" s="35">
        <v>-16.12</v>
      </c>
      <c r="Z20" s="35">
        <v>3.048</v>
      </c>
      <c r="AA20" s="35">
        <f t="shared" si="1"/>
        <v>141.17499999999998</v>
      </c>
      <c r="AB20" s="35">
        <f t="shared" si="2"/>
        <v>141.42500000000001</v>
      </c>
      <c r="AC20" s="35">
        <f t="shared" si="3"/>
        <v>181.92500000000001</v>
      </c>
      <c r="AD20" s="35">
        <f t="shared" si="4"/>
        <v>-137.82500000000002</v>
      </c>
      <c r="AE20" s="35">
        <f t="shared" si="5"/>
        <v>-137.32500000000005</v>
      </c>
      <c r="AF20" s="35">
        <f t="shared" si="6"/>
        <v>-45.798676464743309</v>
      </c>
      <c r="AG20" s="35">
        <f t="shared" si="7"/>
        <v>300.24289711231029</v>
      </c>
      <c r="AH20" s="35">
        <f t="shared" si="8"/>
        <v>-45.947274579420998</v>
      </c>
      <c r="AI20" s="35">
        <f t="shared" si="9"/>
        <v>300.513892968351</v>
      </c>
      <c r="AJ20" s="35">
        <f t="shared" si="10"/>
        <v>-59.627644394282136</v>
      </c>
      <c r="AK20" s="35">
        <f t="shared" si="11"/>
        <v>3.6593332325263046</v>
      </c>
      <c r="AL20" s="35">
        <f t="shared" si="12"/>
        <v>-43.769932418110045</v>
      </c>
      <c r="AM20" s="35">
        <f t="shared" si="13"/>
        <v>63.277961209276256</v>
      </c>
      <c r="AN20" s="35">
        <f t="shared" si="14"/>
        <v>-43.461546671835777</v>
      </c>
      <c r="AO20" s="35">
        <f t="shared" si="15"/>
        <v>63.78664240343479</v>
      </c>
      <c r="AP20" s="33"/>
    </row>
    <row r="21" spans="1:42" s="1" customFormat="1">
      <c r="A21" s="22"/>
      <c r="B21" s="23"/>
      <c r="C21" s="24"/>
      <c r="D21" s="24"/>
      <c r="E21" s="32"/>
      <c r="F21" s="32"/>
      <c r="G21" s="32"/>
      <c r="H21" s="32"/>
      <c r="I21" s="32"/>
      <c r="J21" s="32"/>
      <c r="K21" s="32"/>
      <c r="L21" s="32"/>
      <c r="M21" s="32"/>
      <c r="N21" s="85"/>
      <c r="O21" s="8" t="str">
        <f t="shared" si="0"/>
        <v/>
      </c>
      <c r="P21" s="34" t="s">
        <v>34</v>
      </c>
      <c r="Q21" s="29">
        <v>2</v>
      </c>
      <c r="R21" s="30">
        <v>0.60069444444444442</v>
      </c>
      <c r="S21" s="30">
        <v>0.6020833333333333</v>
      </c>
      <c r="T21" s="30">
        <v>0.70763888888888893</v>
      </c>
      <c r="U21" s="30">
        <v>0.8125</v>
      </c>
      <c r="V21" s="30">
        <v>0.81388888888888899</v>
      </c>
      <c r="W21" s="35">
        <v>350.6</v>
      </c>
      <c r="X21" s="35">
        <v>14.952999999999999</v>
      </c>
      <c r="Y21" s="35">
        <v>-16.87</v>
      </c>
      <c r="Z21" s="35">
        <v>3.218</v>
      </c>
      <c r="AA21" s="35">
        <f t="shared" si="1"/>
        <v>47.645000000000024</v>
      </c>
      <c r="AB21" s="35">
        <f t="shared" si="2"/>
        <v>48.144999999999996</v>
      </c>
      <c r="AC21" s="35">
        <f t="shared" si="3"/>
        <v>86.145000000000024</v>
      </c>
      <c r="AD21" s="35">
        <f t="shared" si="4"/>
        <v>123.89500000000001</v>
      </c>
      <c r="AE21" s="35">
        <f t="shared" si="5"/>
        <v>124.39500000000004</v>
      </c>
      <c r="AF21" s="35">
        <f t="shared" si="6"/>
        <v>13.525613589291066</v>
      </c>
      <c r="AG21" s="35">
        <f t="shared" si="7"/>
        <v>226.6651829441347</v>
      </c>
      <c r="AH21" s="35">
        <f t="shared" si="8"/>
        <v>13.274182428207297</v>
      </c>
      <c r="AI21" s="35">
        <f t="shared" si="9"/>
        <v>227.08367336183827</v>
      </c>
      <c r="AJ21" s="35">
        <f t="shared" si="10"/>
        <v>-9.5554318961177422</v>
      </c>
      <c r="AK21" s="35">
        <f t="shared" si="11"/>
        <v>255.51982742250817</v>
      </c>
      <c r="AL21" s="35">
        <f t="shared" si="12"/>
        <v>-35.311711199972372</v>
      </c>
      <c r="AM21" s="35">
        <f t="shared" si="13"/>
        <v>283.23669324139723</v>
      </c>
      <c r="AN21" s="35">
        <f t="shared" si="14"/>
        <v>-35.646761048594406</v>
      </c>
      <c r="AO21" s="35">
        <f t="shared" si="15"/>
        <v>283.65617726530263</v>
      </c>
      <c r="AP21" s="33"/>
    </row>
    <row r="22" spans="1:42" s="1" customFormat="1" ht="16" customHeight="1">
      <c r="A22" s="22"/>
      <c r="B22" s="23"/>
      <c r="C22" s="24"/>
      <c r="D22" s="24"/>
      <c r="E22" s="32"/>
      <c r="F22" s="32"/>
      <c r="G22" s="32"/>
      <c r="H22" s="32"/>
      <c r="I22" s="32"/>
      <c r="J22" s="32"/>
      <c r="K22" s="32"/>
      <c r="L22" s="32"/>
      <c r="M22" s="32"/>
      <c r="N22" s="85"/>
      <c r="O22" s="8" t="str">
        <f t="shared" si="0"/>
        <v/>
      </c>
      <c r="P22" s="34" t="s">
        <v>35</v>
      </c>
      <c r="Q22" s="29">
        <v>1</v>
      </c>
      <c r="R22" s="30">
        <v>0.37986111111111115</v>
      </c>
      <c r="S22" s="30">
        <v>0.38263888888888892</v>
      </c>
      <c r="T22" s="30">
        <v>0.4375</v>
      </c>
      <c r="U22" s="30">
        <v>0.49236111111111108</v>
      </c>
      <c r="V22" s="30">
        <v>0.49444444444444446</v>
      </c>
      <c r="W22" s="35">
        <v>843</v>
      </c>
      <c r="X22" s="35">
        <v>15.128</v>
      </c>
      <c r="Y22" s="35">
        <v>-17.59</v>
      </c>
      <c r="Z22" s="35">
        <v>3.3879999999999999</v>
      </c>
      <c r="AA22" s="35">
        <f t="shared" si="1"/>
        <v>-31.929999999999993</v>
      </c>
      <c r="AB22" s="35">
        <f t="shared" si="2"/>
        <v>-30.93</v>
      </c>
      <c r="AC22" s="35">
        <f t="shared" si="3"/>
        <v>-11.180000000000001</v>
      </c>
      <c r="AD22" s="35">
        <f t="shared" si="4"/>
        <v>8.5699999999999932</v>
      </c>
      <c r="AE22" s="35">
        <f t="shared" si="5"/>
        <v>9.3200000000000038</v>
      </c>
      <c r="AF22" s="35">
        <f t="shared" si="6"/>
        <v>19.777627305619308</v>
      </c>
      <c r="AG22" s="35">
        <f t="shared" si="7"/>
        <v>147.60475400106139</v>
      </c>
      <c r="AH22" s="35">
        <f t="shared" si="8"/>
        <v>20.141988198074923</v>
      </c>
      <c r="AI22" s="35">
        <f t="shared" si="9"/>
        <v>148.54190863730338</v>
      </c>
      <c r="AJ22" s="35">
        <f t="shared" si="10"/>
        <v>25.168382776242048</v>
      </c>
      <c r="AK22" s="35">
        <f t="shared" si="11"/>
        <v>168.21651556635493</v>
      </c>
      <c r="AL22" s="35">
        <f t="shared" si="12"/>
        <v>25.493607728521894</v>
      </c>
      <c r="AM22" s="35">
        <f t="shared" si="13"/>
        <v>189.05444507355304</v>
      </c>
      <c r="AN22" s="35">
        <f t="shared" si="14"/>
        <v>25.408787228166133</v>
      </c>
      <c r="AO22" s="35">
        <f t="shared" si="15"/>
        <v>189.84062648209269</v>
      </c>
      <c r="AP22" s="33"/>
    </row>
    <row r="23" spans="1:42" s="1" customFormat="1">
      <c r="A23" s="22"/>
      <c r="D23" s="20"/>
      <c r="E23" s="20"/>
      <c r="F23" s="20"/>
      <c r="G23" s="20"/>
      <c r="H23" s="20"/>
      <c r="I23" s="20"/>
      <c r="J23" s="20"/>
      <c r="K23" s="20"/>
      <c r="L23" s="20"/>
      <c r="M23" s="20"/>
      <c r="N23" s="86"/>
      <c r="O23" s="8" t="str">
        <f t="shared" si="0"/>
        <v/>
      </c>
      <c r="P23" s="34" t="s">
        <v>36</v>
      </c>
      <c r="Q23" s="29">
        <v>7</v>
      </c>
      <c r="R23" s="30">
        <v>0.89861111111111114</v>
      </c>
      <c r="S23" s="30">
        <v>0.90416666666666667</v>
      </c>
      <c r="T23" s="30">
        <v>0.95972222222222225</v>
      </c>
      <c r="U23" s="30">
        <v>1.4583333333333332E-2</v>
      </c>
      <c r="V23" s="30">
        <v>2.013888888888889E-2</v>
      </c>
      <c r="W23" s="35">
        <v>888.8</v>
      </c>
      <c r="X23" s="35">
        <v>2.6850000000000001</v>
      </c>
      <c r="Y23" s="35">
        <v>15.68</v>
      </c>
      <c r="Z23" s="35">
        <v>14.742000000000001</v>
      </c>
      <c r="AA23" s="35">
        <f t="shared" si="1"/>
        <v>511.77500000000009</v>
      </c>
      <c r="AB23" s="35">
        <f t="shared" si="2"/>
        <v>513.77500000000009</v>
      </c>
      <c r="AC23" s="35">
        <f t="shared" si="3"/>
        <v>533.77499999999998</v>
      </c>
      <c r="AD23" s="35">
        <f t="shared" si="4"/>
        <v>193.52499999999998</v>
      </c>
      <c r="AE23" s="35">
        <f t="shared" si="5"/>
        <v>195.52499999999998</v>
      </c>
      <c r="AF23" s="35">
        <f t="shared" si="6"/>
        <v>-22.866988046410526</v>
      </c>
      <c r="AG23" s="35">
        <f t="shared" si="7"/>
        <v>330.38477941919535</v>
      </c>
      <c r="AH23" s="35">
        <f t="shared" si="8"/>
        <v>-23.527286718005538</v>
      </c>
      <c r="AI23" s="35">
        <f t="shared" si="9"/>
        <v>332.35272054795337</v>
      </c>
      <c r="AJ23" s="35">
        <f t="shared" si="10"/>
        <v>-27.616792412008952</v>
      </c>
      <c r="AK23" s="35">
        <f t="shared" si="11"/>
        <v>353.2336030981715</v>
      </c>
      <c r="AL23" s="35">
        <f t="shared" si="12"/>
        <v>-26.684098380840066</v>
      </c>
      <c r="AM23" s="35">
        <f t="shared" si="13"/>
        <v>14.596252778044509</v>
      </c>
      <c r="AN23" s="35">
        <f t="shared" si="14"/>
        <v>-26.312320511772938</v>
      </c>
      <c r="AO23" s="35">
        <f t="shared" si="15"/>
        <v>16.707392486589978</v>
      </c>
      <c r="AP23" s="33"/>
    </row>
    <row r="24" spans="1:42" s="1" customFormat="1">
      <c r="A24" s="22"/>
      <c r="B24" s="25"/>
      <c r="C24" s="25"/>
      <c r="D24" s="25"/>
      <c r="E24" s="25"/>
      <c r="F24" s="25"/>
      <c r="G24" s="25"/>
      <c r="H24" s="25"/>
      <c r="I24" s="25"/>
      <c r="J24" s="25"/>
      <c r="K24" s="25"/>
      <c r="L24" s="25"/>
      <c r="M24" s="25"/>
      <c r="N24" s="72"/>
      <c r="O24" s="8" t="str">
        <f t="shared" si="0"/>
        <v/>
      </c>
      <c r="P24" s="34" t="s">
        <v>37</v>
      </c>
      <c r="Q24" s="29">
        <v>6</v>
      </c>
      <c r="R24" s="30">
        <v>0.34166666666666662</v>
      </c>
      <c r="S24" s="30">
        <v>0.34375</v>
      </c>
      <c r="T24" s="30">
        <v>0.4375</v>
      </c>
      <c r="U24" s="30">
        <v>0.53125</v>
      </c>
      <c r="V24" s="30">
        <v>0.53263888888888888</v>
      </c>
      <c r="W24" s="35">
        <v>542.4</v>
      </c>
      <c r="X24" s="35">
        <v>14.679</v>
      </c>
      <c r="Y24" s="35">
        <v>-15.65</v>
      </c>
      <c r="Z24" s="35">
        <v>2.948</v>
      </c>
      <c r="AA24" s="35">
        <f t="shared" si="1"/>
        <v>-45.545000000000009</v>
      </c>
      <c r="AB24" s="35">
        <f t="shared" si="2"/>
        <v>-44.794999999999995</v>
      </c>
      <c r="AC24" s="35">
        <f t="shared" si="3"/>
        <v>-11.044999999999996</v>
      </c>
      <c r="AD24" s="35">
        <f t="shared" si="4"/>
        <v>22.705000000000002</v>
      </c>
      <c r="AE24" s="35">
        <f t="shared" si="5"/>
        <v>23.204999999999998</v>
      </c>
      <c r="AF24" s="35">
        <f t="shared" si="6"/>
        <v>15.61237298615381</v>
      </c>
      <c r="AG24" s="35">
        <f t="shared" si="7"/>
        <v>134.46572793277733</v>
      </c>
      <c r="AH24" s="35">
        <f t="shared" si="8"/>
        <v>15.979106744248059</v>
      </c>
      <c r="AI24" s="35">
        <f t="shared" si="9"/>
        <v>135.11229645455703</v>
      </c>
      <c r="AJ24" s="35">
        <f t="shared" si="10"/>
        <v>27.106174471913221</v>
      </c>
      <c r="AK24" s="35">
        <f t="shared" si="11"/>
        <v>168.03933957218703</v>
      </c>
      <c r="AL24" s="35">
        <f t="shared" si="12"/>
        <v>24.614807643251037</v>
      </c>
      <c r="AM24" s="35">
        <f t="shared" si="13"/>
        <v>204.13122497232231</v>
      </c>
      <c r="AN24" s="35">
        <f t="shared" si="14"/>
        <v>24.472582848072101</v>
      </c>
      <c r="AO24" s="35">
        <f t="shared" si="15"/>
        <v>204.6368927155182</v>
      </c>
      <c r="AP24" s="33"/>
    </row>
    <row r="25" spans="1:42" s="1" customFormat="1">
      <c r="A25" s="22"/>
      <c r="B25" s="105" t="s">
        <v>139</v>
      </c>
      <c r="C25" s="105"/>
      <c r="D25" s="105"/>
      <c r="E25" s="60"/>
      <c r="F25" s="60"/>
      <c r="G25" s="60"/>
      <c r="H25" s="60"/>
      <c r="I25" s="60"/>
      <c r="J25" s="60"/>
      <c r="K25" s="60"/>
      <c r="L25" s="60"/>
      <c r="M25" s="60"/>
      <c r="N25" s="87"/>
      <c r="O25" s="8" t="str">
        <f t="shared" si="0"/>
        <v/>
      </c>
      <c r="P25" s="34" t="s">
        <v>38</v>
      </c>
      <c r="Q25" s="29">
        <v>5</v>
      </c>
      <c r="R25" s="30">
        <v>9.4444444444444442E-2</v>
      </c>
      <c r="S25" s="30">
        <v>9.6527777777777768E-2</v>
      </c>
      <c r="T25" s="30">
        <v>0.2590277777777778</v>
      </c>
      <c r="U25" s="30">
        <v>0.42083333333333334</v>
      </c>
      <c r="V25" s="30">
        <v>0.42291666666666666</v>
      </c>
      <c r="W25" s="35">
        <v>138.6</v>
      </c>
      <c r="X25" s="35">
        <v>2.8879999999999999</v>
      </c>
      <c r="Y25" s="35">
        <v>16.59</v>
      </c>
      <c r="Z25" s="35">
        <v>14.949</v>
      </c>
      <c r="AA25" s="35">
        <f t="shared" si="1"/>
        <v>222.33499999999995</v>
      </c>
      <c r="AB25" s="35">
        <f t="shared" si="2"/>
        <v>223.08499999999995</v>
      </c>
      <c r="AC25" s="35">
        <f t="shared" si="3"/>
        <v>281.58499999999992</v>
      </c>
      <c r="AD25" s="35">
        <f t="shared" si="4"/>
        <v>339.83500000000004</v>
      </c>
      <c r="AE25" s="35">
        <f t="shared" si="5"/>
        <v>340.58499999999998</v>
      </c>
      <c r="AF25" s="35">
        <f t="shared" si="6"/>
        <v>-16.3302568914409</v>
      </c>
      <c r="AG25" s="35">
        <f t="shared" si="7"/>
        <v>42.265169068590687</v>
      </c>
      <c r="AH25" s="35">
        <f t="shared" si="8"/>
        <v>-15.980540239258358</v>
      </c>
      <c r="AI25" s="35">
        <f t="shared" si="9"/>
        <v>42.918954209095666</v>
      </c>
      <c r="AJ25" s="35">
        <f t="shared" si="10"/>
        <v>19.84896086035069</v>
      </c>
      <c r="AK25" s="35">
        <f t="shared" si="11"/>
        <v>86.511744237239867</v>
      </c>
      <c r="AL25" s="35">
        <f t="shared" si="12"/>
        <v>55.768380779577953</v>
      </c>
      <c r="AM25" s="35">
        <f t="shared" si="13"/>
        <v>144.03496266595235</v>
      </c>
      <c r="AN25" s="35">
        <f t="shared" si="14"/>
        <v>56.067590389475725</v>
      </c>
      <c r="AO25" s="35">
        <f t="shared" si="15"/>
        <v>145.20123581495801</v>
      </c>
      <c r="AP25" s="33"/>
    </row>
    <row r="26" spans="1:42" s="1" customFormat="1">
      <c r="A26" s="22"/>
      <c r="B26" s="69" t="s">
        <v>119</v>
      </c>
      <c r="C26" s="70" t="s">
        <v>116</v>
      </c>
      <c r="D26" s="70" t="s">
        <v>117</v>
      </c>
      <c r="E26" s="92" t="str">
        <f>IF(VLOOKUP($C$6,$P$6:$AO$99,17,FALSE)="-","(partial)","")</f>
        <v/>
      </c>
      <c r="F26" s="61"/>
      <c r="G26" s="61"/>
      <c r="H26" s="61"/>
      <c r="I26" s="61"/>
      <c r="J26" s="61"/>
      <c r="K26" s="61"/>
      <c r="L26" s="61"/>
      <c r="M26" s="61"/>
      <c r="N26" s="88"/>
      <c r="O26" s="8" t="str">
        <f t="shared" si="0"/>
        <v/>
      </c>
      <c r="P26" s="34" t="s">
        <v>39</v>
      </c>
      <c r="Q26" s="29">
        <v>4</v>
      </c>
      <c r="R26" s="30">
        <v>5.9722222222222225E-2</v>
      </c>
      <c r="S26" s="30">
        <v>6.1111111111111116E-2</v>
      </c>
      <c r="T26" s="30">
        <v>0.17430555555555557</v>
      </c>
      <c r="U26" s="30">
        <v>0.28749999999999998</v>
      </c>
      <c r="V26" s="30">
        <v>0.28819444444444448</v>
      </c>
      <c r="W26" s="35">
        <v>42.6</v>
      </c>
      <c r="X26" s="35">
        <v>14.851000000000001</v>
      </c>
      <c r="Y26" s="35">
        <v>-16.420000000000002</v>
      </c>
      <c r="Z26" s="35">
        <v>3.1179999999999999</v>
      </c>
      <c r="AA26" s="35">
        <f t="shared" si="1"/>
        <v>-147.07500000000002</v>
      </c>
      <c r="AB26" s="35">
        <f t="shared" si="2"/>
        <v>-146.57500000000002</v>
      </c>
      <c r="AC26" s="35">
        <f t="shared" si="3"/>
        <v>-105.825</v>
      </c>
      <c r="AD26" s="35">
        <f t="shared" si="4"/>
        <v>-65.075000000000003</v>
      </c>
      <c r="AE26" s="35">
        <f t="shared" si="5"/>
        <v>-64.825000000000017</v>
      </c>
      <c r="AF26" s="35">
        <f t="shared" si="6"/>
        <v>-49.430147078026828</v>
      </c>
      <c r="AG26" s="35">
        <f t="shared" si="7"/>
        <v>53.287929349587451</v>
      </c>
      <c r="AH26" s="35">
        <f t="shared" si="8"/>
        <v>-49.152908813057458</v>
      </c>
      <c r="AI26" s="35">
        <f t="shared" si="9"/>
        <v>53.887984977237508</v>
      </c>
      <c r="AJ26" s="35">
        <f t="shared" si="10"/>
        <v>-22.649964276783372</v>
      </c>
      <c r="AK26" s="35">
        <f t="shared" si="11"/>
        <v>90.321320467735148</v>
      </c>
      <c r="AL26" s="35">
        <f t="shared" si="12"/>
        <v>4.2232253022892285</v>
      </c>
      <c r="AM26" s="35">
        <f t="shared" si="13"/>
        <v>119.27969574790961</v>
      </c>
      <c r="AN26" s="35">
        <f t="shared" si="14"/>
        <v>4.3733282251453591</v>
      </c>
      <c r="AO26" s="35">
        <f t="shared" si="15"/>
        <v>119.46723929725599</v>
      </c>
      <c r="AP26" s="33"/>
    </row>
    <row r="27" spans="1:42" s="1" customFormat="1">
      <c r="A27" s="22"/>
      <c r="B27" s="29" t="s">
        <v>130</v>
      </c>
      <c r="C27" s="35">
        <f>IF(VLOOKUP($C$6,$P$6:$AO$99,17,FALSE)="-",0,VLOOKUP($C$6,$P$6:$AO$99,17,FALSE))</f>
        <v>47.362308018807191</v>
      </c>
      <c r="D27" s="35">
        <f>IF(VLOOKUP($C$6,$P$6:$AO$99,18,FALSE)="-",0,VLOOKUP($C$6,$P$6:$AO$99,18,FALSE))</f>
        <v>119.14921507398223</v>
      </c>
      <c r="E27" s="92" t="str">
        <f>IF(VLOOKUP($C$6,$P$6:$V$99,3,FALSE)="-","(partial)","")</f>
        <v/>
      </c>
      <c r="F27" s="61"/>
      <c r="G27" s="61"/>
      <c r="H27" s="61"/>
      <c r="I27" s="61"/>
      <c r="J27" s="61"/>
      <c r="K27" s="61"/>
      <c r="L27" s="61"/>
      <c r="M27" s="61"/>
      <c r="N27" s="88"/>
      <c r="O27" s="8" t="str">
        <f t="shared" si="0"/>
        <v/>
      </c>
      <c r="P27" s="34" t="s">
        <v>40</v>
      </c>
      <c r="Q27" s="29">
        <v>2</v>
      </c>
      <c r="R27" s="30">
        <v>0.80625000000000002</v>
      </c>
      <c r="S27" s="30">
        <v>0.80763888888888891</v>
      </c>
      <c r="T27" s="30">
        <v>0.90694444444444444</v>
      </c>
      <c r="U27" s="30">
        <v>6.9444444444444441E-3</v>
      </c>
      <c r="V27" s="30">
        <v>8.3333333333333332E-3</v>
      </c>
      <c r="W27" s="35">
        <v>454</v>
      </c>
      <c r="X27" s="35">
        <v>15.023999999999999</v>
      </c>
      <c r="Y27" s="35">
        <v>-17.170000000000002</v>
      </c>
      <c r="Z27" s="35">
        <v>3.2879999999999998</v>
      </c>
      <c r="AA27" s="35">
        <f t="shared" si="1"/>
        <v>121.63000000000004</v>
      </c>
      <c r="AB27" s="35">
        <f t="shared" si="2"/>
        <v>122.13000000000001</v>
      </c>
      <c r="AC27" s="35">
        <f t="shared" si="3"/>
        <v>157.88</v>
      </c>
      <c r="AD27" s="35">
        <f t="shared" si="4"/>
        <v>-166.12</v>
      </c>
      <c r="AE27" s="35">
        <f t="shared" si="5"/>
        <v>-165.62</v>
      </c>
      <c r="AF27" s="35">
        <f t="shared" si="6"/>
        <v>-33.9992745501511</v>
      </c>
      <c r="AG27" s="35">
        <f t="shared" si="7"/>
        <v>281.11062223865105</v>
      </c>
      <c r="AH27" s="35">
        <f t="shared" si="8"/>
        <v>-34.337072191924612</v>
      </c>
      <c r="AI27" s="35">
        <f t="shared" si="9"/>
        <v>281.51888879906903</v>
      </c>
      <c r="AJ27" s="35">
        <f t="shared" si="10"/>
        <v>-55.465878856310475</v>
      </c>
      <c r="AK27" s="35">
        <f t="shared" si="11"/>
        <v>320.60793774395967</v>
      </c>
      <c r="AL27" s="35">
        <f t="shared" si="12"/>
        <v>-58.541502571686465</v>
      </c>
      <c r="AM27" s="35">
        <f t="shared" si="13"/>
        <v>26.051383312305031</v>
      </c>
      <c r="AN27" s="35">
        <f t="shared" si="14"/>
        <v>-58.387875754781277</v>
      </c>
      <c r="AO27" s="35">
        <f t="shared" si="15"/>
        <v>26.916247450707026</v>
      </c>
      <c r="AP27" s="33"/>
    </row>
    <row r="28" spans="1:42" s="1" customFormat="1">
      <c r="A28" s="22"/>
      <c r="B28" s="29" t="s">
        <v>131</v>
      </c>
      <c r="C28" s="35">
        <f>IF(VLOOKUP($C$6,$P$6:$AO$99,19,FALSE)="-",0,VLOOKUP($C$6,$P$6:$AO$99,19,FALSE))</f>
        <v>0</v>
      </c>
      <c r="D28" s="35">
        <f>IF(VLOOKUP($C$6,$P$6:$AO$99,20,FALSE)="-",0,VLOOKUP($C$6,$P$6:$AO$99,20,FALSE))</f>
        <v>0</v>
      </c>
      <c r="E28" s="92" t="str">
        <f>IF(VLOOKUP($C$6,$P$6:$V$99,4,FALSE)="-","(partial)","")</f>
        <v>(partial)</v>
      </c>
      <c r="F28" s="61"/>
      <c r="G28" s="61"/>
      <c r="H28" s="61"/>
      <c r="I28" s="61"/>
      <c r="J28" s="61"/>
      <c r="K28" s="61"/>
      <c r="L28" s="61"/>
      <c r="M28" s="61"/>
      <c r="N28" s="88"/>
      <c r="O28" s="8" t="str">
        <f t="shared" si="0"/>
        <v/>
      </c>
      <c r="P28" s="34" t="s">
        <v>41</v>
      </c>
      <c r="Q28" s="29">
        <v>8</v>
      </c>
      <c r="R28" s="30">
        <v>0.87152777777777779</v>
      </c>
      <c r="S28" s="30">
        <v>0.87708333333333333</v>
      </c>
      <c r="T28" s="30">
        <v>0.9</v>
      </c>
      <c r="U28" s="30">
        <v>0.92291666666666661</v>
      </c>
      <c r="V28" s="30">
        <v>0.92847222222222225</v>
      </c>
      <c r="W28" s="35">
        <v>943.8</v>
      </c>
      <c r="X28" s="35">
        <v>14.522</v>
      </c>
      <c r="Y28" s="35">
        <v>-14.91</v>
      </c>
      <c r="Z28" s="35">
        <v>2.7930000000000001</v>
      </c>
      <c r="AA28" s="35">
        <f t="shared" si="1"/>
        <v>145.23499999999999</v>
      </c>
      <c r="AB28" s="35">
        <f t="shared" si="2"/>
        <v>147.23499999999999</v>
      </c>
      <c r="AC28" s="35">
        <f t="shared" si="3"/>
        <v>155.48499999999999</v>
      </c>
      <c r="AD28" s="35">
        <f t="shared" si="4"/>
        <v>163.73499999999996</v>
      </c>
      <c r="AE28" s="35">
        <f t="shared" si="5"/>
        <v>165.73499999999999</v>
      </c>
      <c r="AF28" s="35">
        <f t="shared" si="6"/>
        <v>-47.174730814764445</v>
      </c>
      <c r="AG28" s="35">
        <f t="shared" si="7"/>
        <v>305.8459642655418</v>
      </c>
      <c r="AH28" s="35">
        <f t="shared" si="8"/>
        <v>-48.274861894566598</v>
      </c>
      <c r="AI28" s="35">
        <f t="shared" si="9"/>
        <v>308.20834984684467</v>
      </c>
      <c r="AJ28" s="35">
        <f t="shared" si="10"/>
        <v>-52.396840908343272</v>
      </c>
      <c r="AK28" s="35">
        <f t="shared" si="11"/>
        <v>318.92016279965327</v>
      </c>
      <c r="AL28" s="35">
        <f t="shared" si="12"/>
        <v>-55.652210780930005</v>
      </c>
      <c r="AM28" s="35">
        <f t="shared" si="13"/>
        <v>331.33459561900418</v>
      </c>
      <c r="AN28" s="35">
        <f t="shared" si="14"/>
        <v>-56.278566581053546</v>
      </c>
      <c r="AO28" s="35">
        <f t="shared" si="15"/>
        <v>334.60170791151376</v>
      </c>
      <c r="AP28" s="33"/>
    </row>
    <row r="29" spans="1:42" s="1" customFormat="1">
      <c r="A29" s="22"/>
      <c r="B29" s="29" t="s">
        <v>3</v>
      </c>
      <c r="C29" s="35">
        <f>IF(VLOOKUP($C$6,$P$6:$AO$99,21,FALSE)="-",0,VLOOKUP($C$6,$P$6:$AO$99,21,FALSE))</f>
        <v>48.257533875237286</v>
      </c>
      <c r="D29" s="35">
        <f>IF(VLOOKUP($C$6,$P$6:$AO$99,22,FALSE)="-",0,VLOOKUP($C$6,$P$6:$AO$99,22,FALSE))</f>
        <v>120.80611261044756</v>
      </c>
      <c r="E29" s="92" t="str">
        <f>IF(VLOOKUP($C$6,$P$6:$V$99,5,FALSE)="-","(partial)","")</f>
        <v/>
      </c>
      <c r="F29" s="61"/>
      <c r="G29" s="61"/>
      <c r="H29" s="61"/>
      <c r="I29" s="61"/>
      <c r="J29" s="61"/>
      <c r="K29" s="61"/>
      <c r="L29" s="61"/>
      <c r="M29" s="61"/>
      <c r="N29" s="88"/>
      <c r="O29" s="8" t="str">
        <f t="shared" si="0"/>
        <v/>
      </c>
      <c r="P29" s="34" t="s">
        <v>42</v>
      </c>
      <c r="Q29" s="29">
        <v>1</v>
      </c>
      <c r="R29" s="30">
        <v>0.60763888888888895</v>
      </c>
      <c r="S29" s="30">
        <v>0.61250000000000004</v>
      </c>
      <c r="T29" s="30">
        <v>0.63611111111111118</v>
      </c>
      <c r="U29" s="30">
        <v>0.65972222222222221</v>
      </c>
      <c r="V29" s="30">
        <v>0.6645833333333333</v>
      </c>
      <c r="W29" s="35">
        <v>944.6</v>
      </c>
      <c r="X29" s="35">
        <v>15.199</v>
      </c>
      <c r="Y29" s="35">
        <v>-17.88</v>
      </c>
      <c r="Z29" s="35">
        <v>3.4569999999999999</v>
      </c>
      <c r="AA29" s="35">
        <f t="shared" si="1"/>
        <v>50.04</v>
      </c>
      <c r="AB29" s="35">
        <f t="shared" si="2"/>
        <v>51.790000000000006</v>
      </c>
      <c r="AC29" s="35">
        <f t="shared" si="3"/>
        <v>60.29</v>
      </c>
      <c r="AD29" s="35">
        <f t="shared" si="4"/>
        <v>68.789999999999992</v>
      </c>
      <c r="AE29" s="35">
        <f t="shared" si="5"/>
        <v>70.540000000000006</v>
      </c>
      <c r="AF29" s="35">
        <f t="shared" si="6"/>
        <v>11.455604412044751</v>
      </c>
      <c r="AG29" s="35">
        <f t="shared" si="7"/>
        <v>228.09900315877016</v>
      </c>
      <c r="AH29" s="35">
        <f t="shared" si="8"/>
        <v>10.548255994191541</v>
      </c>
      <c r="AI29" s="35">
        <f t="shared" si="9"/>
        <v>229.521778652786</v>
      </c>
      <c r="AJ29" s="35">
        <f t="shared" si="10"/>
        <v>5.8804800493035785</v>
      </c>
      <c r="AK29" s="35">
        <f t="shared" si="11"/>
        <v>236.19835122404254</v>
      </c>
      <c r="AL29" s="35">
        <f t="shared" si="12"/>
        <v>0.84253808973039857</v>
      </c>
      <c r="AM29" s="35">
        <f t="shared" si="13"/>
        <v>242.53962248850505</v>
      </c>
      <c r="AN29" s="35">
        <f t="shared" si="14"/>
        <v>-0.23342881635725748</v>
      </c>
      <c r="AO29" s="35">
        <f t="shared" si="15"/>
        <v>243.81091496158592</v>
      </c>
      <c r="AP29" s="33"/>
    </row>
    <row r="30" spans="1:42" s="1" customFormat="1">
      <c r="A30" s="22"/>
      <c r="B30" s="29" t="s">
        <v>132</v>
      </c>
      <c r="C30" s="35">
        <f>IF(VLOOKUP($C$6,$P$6:$AO$99,23,FALSE)="-",0,VLOOKUP($C$6,$P$6:$AO$99,23,FALSE))</f>
        <v>0</v>
      </c>
      <c r="D30" s="35">
        <f>IF(VLOOKUP($C$6,$P$6:$AO$99,24,FALSE)="-",0,VLOOKUP($C$6,$P$6:$AO$99,24,FALSE))</f>
        <v>0</v>
      </c>
      <c r="E30" s="92" t="str">
        <f>IF(VLOOKUP($C$6,$P$6:$V$99,6,FALSE)="-","(partial)","")</f>
        <v>(partial)</v>
      </c>
      <c r="F30" s="61"/>
      <c r="G30" s="61"/>
      <c r="H30" s="61"/>
      <c r="I30" s="61"/>
      <c r="J30" s="61"/>
      <c r="K30" s="61"/>
      <c r="L30" s="61"/>
      <c r="M30" s="61"/>
      <c r="N30" s="88"/>
      <c r="O30" s="8" t="str">
        <f t="shared" si="0"/>
        <v/>
      </c>
      <c r="P30" s="34" t="s">
        <v>43</v>
      </c>
      <c r="Q30" s="29">
        <v>7</v>
      </c>
      <c r="R30" s="30">
        <v>0.12222222222222223</v>
      </c>
      <c r="S30" s="30">
        <v>0.12569444444444444</v>
      </c>
      <c r="T30" s="30">
        <v>0.23680555555555557</v>
      </c>
      <c r="U30" s="30">
        <v>0.34791666666666665</v>
      </c>
      <c r="V30" s="30">
        <v>0.35138888888888892</v>
      </c>
      <c r="W30" s="35">
        <v>689</v>
      </c>
      <c r="X30" s="35">
        <v>2.7589999999999999</v>
      </c>
      <c r="Y30" s="35">
        <v>16.02</v>
      </c>
      <c r="Z30" s="35">
        <v>14.817</v>
      </c>
      <c r="AA30" s="35">
        <f t="shared" si="1"/>
        <v>232.29</v>
      </c>
      <c r="AB30" s="35">
        <f t="shared" si="2"/>
        <v>233.53999999999996</v>
      </c>
      <c r="AC30" s="35">
        <f t="shared" si="3"/>
        <v>273.54000000000002</v>
      </c>
      <c r="AD30" s="35">
        <f t="shared" si="4"/>
        <v>313.54000000000002</v>
      </c>
      <c r="AE30" s="35">
        <f t="shared" si="5"/>
        <v>314.79000000000002</v>
      </c>
      <c r="AF30" s="35">
        <f t="shared" si="6"/>
        <v>-11.832172944842441</v>
      </c>
      <c r="AG30" s="35">
        <f t="shared" si="7"/>
        <v>50.97773846645228</v>
      </c>
      <c r="AH30" s="35">
        <f t="shared" si="8"/>
        <v>-11.158303779879038</v>
      </c>
      <c r="AI30" s="35">
        <f t="shared" si="9"/>
        <v>51.992789106955108</v>
      </c>
      <c r="AJ30" s="35">
        <f t="shared" si="10"/>
        <v>13.940106565394226</v>
      </c>
      <c r="AK30" s="35">
        <f t="shared" si="11"/>
        <v>81.280743501253042</v>
      </c>
      <c r="AL30" s="35">
        <f t="shared" si="12"/>
        <v>41.010903806784498</v>
      </c>
      <c r="AM30" s="35">
        <f t="shared" si="13"/>
        <v>112.57976359990779</v>
      </c>
      <c r="AN30" s="35">
        <f t="shared" si="14"/>
        <v>41.802596433741627</v>
      </c>
      <c r="AO30" s="35">
        <f t="shared" si="15"/>
        <v>113.7847171430446</v>
      </c>
      <c r="AP30" s="33"/>
    </row>
    <row r="31" spans="1:42" s="1" customFormat="1">
      <c r="A31" s="22"/>
      <c r="B31" s="29" t="s">
        <v>133</v>
      </c>
      <c r="C31" s="35">
        <f>IF(VLOOKUP($C$6,$P$6:$AO$99,25,FALSE)="-",0,VLOOKUP($C$6,$P$6:$AO$99,25,FALSE))</f>
        <v>49.282251600148925</v>
      </c>
      <c r="D31" s="35">
        <f>IF(VLOOKUP($C$6,$P$6:$AO$99,26,FALSE)="-",0,VLOOKUP($C$6,$P$6:$AO$99,26,FALSE))</f>
        <v>122.79959068824921</v>
      </c>
      <c r="E31" s="92" t="str">
        <f>IF(VLOOKUP($C$6,$P$6:$V$99,7,FALSE)="-","(partial)","")</f>
        <v/>
      </c>
      <c r="N31" s="89"/>
      <c r="O31" s="8" t="str">
        <f t="shared" si="0"/>
        <v/>
      </c>
      <c r="P31" s="34" t="s">
        <v>44</v>
      </c>
      <c r="Q31" s="29">
        <v>6</v>
      </c>
      <c r="R31" s="30">
        <v>0.53541666666666665</v>
      </c>
      <c r="S31" s="30">
        <v>0.53680555555555554</v>
      </c>
      <c r="T31" s="30">
        <v>0.6381944444444444</v>
      </c>
      <c r="U31" s="30">
        <v>0.73888888888888893</v>
      </c>
      <c r="V31" s="30">
        <v>0.7402777777777777</v>
      </c>
      <c r="W31" s="35">
        <v>439.9</v>
      </c>
      <c r="X31" s="35">
        <v>14.747999999999999</v>
      </c>
      <c r="Y31" s="35">
        <v>-15.96</v>
      </c>
      <c r="Z31" s="35">
        <v>3.0179999999999998</v>
      </c>
      <c r="AA31" s="35">
        <f t="shared" si="1"/>
        <v>24.220000000000013</v>
      </c>
      <c r="AB31" s="35">
        <f t="shared" si="2"/>
        <v>24.720000000000013</v>
      </c>
      <c r="AC31" s="35">
        <f t="shared" si="3"/>
        <v>61.22000000000002</v>
      </c>
      <c r="AD31" s="35">
        <f t="shared" si="4"/>
        <v>97.470000000000041</v>
      </c>
      <c r="AE31" s="35">
        <f t="shared" si="5"/>
        <v>97.970000000000013</v>
      </c>
      <c r="AF31" s="35">
        <f t="shared" si="6"/>
        <v>23.880618696071121</v>
      </c>
      <c r="AG31" s="35">
        <f t="shared" si="7"/>
        <v>205.55365777240169</v>
      </c>
      <c r="AH31" s="35">
        <f t="shared" si="8"/>
        <v>23.730666442834483</v>
      </c>
      <c r="AI31" s="35">
        <f t="shared" si="9"/>
        <v>206.05287275622905</v>
      </c>
      <c r="AJ31" s="35">
        <f t="shared" si="10"/>
        <v>6.8711550432766151</v>
      </c>
      <c r="AK31" s="35">
        <f t="shared" si="11"/>
        <v>238.07990931285605</v>
      </c>
      <c r="AL31" s="35">
        <f t="shared" si="12"/>
        <v>-16.583280127869742</v>
      </c>
      <c r="AM31" s="35">
        <f t="shared" si="13"/>
        <v>264.07970777445502</v>
      </c>
      <c r="AN31" s="35">
        <f t="shared" si="14"/>
        <v>-16.926043354568602</v>
      </c>
      <c r="AO31" s="35">
        <f t="shared" si="15"/>
        <v>264.43171519133892</v>
      </c>
      <c r="AP31" s="33"/>
    </row>
    <row r="32" spans="1:42" s="1" customFormat="1">
      <c r="A32" s="22"/>
      <c r="B32" s="25"/>
      <c r="C32" s="25"/>
      <c r="D32" s="25"/>
      <c r="E32" s="25"/>
      <c r="F32" s="25"/>
      <c r="G32" s="25"/>
      <c r="H32" s="25"/>
      <c r="I32" s="25"/>
      <c r="J32" s="25"/>
      <c r="K32" s="25"/>
      <c r="L32" s="25"/>
      <c r="M32" s="25"/>
      <c r="N32" s="72"/>
      <c r="O32" s="8" t="str">
        <f t="shared" si="0"/>
        <v/>
      </c>
      <c r="P32" s="34" t="s">
        <v>45</v>
      </c>
      <c r="Q32" s="29">
        <v>5</v>
      </c>
      <c r="R32" s="30">
        <v>0.37986111111111115</v>
      </c>
      <c r="S32" s="30">
        <v>0.38194444444444442</v>
      </c>
      <c r="T32" s="30">
        <v>0.53472222222222221</v>
      </c>
      <c r="U32" s="30">
        <v>0.68819444444444444</v>
      </c>
      <c r="V32" s="30">
        <v>0.69027777777777777</v>
      </c>
      <c r="W32" s="35">
        <v>339.5</v>
      </c>
      <c r="X32" s="35">
        <v>2.9609999999999999</v>
      </c>
      <c r="Y32" s="35">
        <v>16.899999999999999</v>
      </c>
      <c r="Z32" s="35">
        <v>15.023999999999999</v>
      </c>
      <c r="AA32" s="35">
        <f t="shared" si="1"/>
        <v>325.11500000000007</v>
      </c>
      <c r="AB32" s="35">
        <f t="shared" si="2"/>
        <v>325.86500000000007</v>
      </c>
      <c r="AC32" s="35">
        <f t="shared" si="3"/>
        <v>380.86500000000001</v>
      </c>
      <c r="AD32" s="35">
        <f t="shared" si="4"/>
        <v>436.11500000000007</v>
      </c>
      <c r="AE32" s="35">
        <f t="shared" si="5"/>
        <v>436.86500000000007</v>
      </c>
      <c r="AF32" s="35">
        <f t="shared" si="6"/>
        <v>48.71723686667918</v>
      </c>
      <c r="AG32" s="35">
        <f t="shared" si="7"/>
        <v>123.96073671013143</v>
      </c>
      <c r="AH32" s="35">
        <f t="shared" si="8"/>
        <v>49.143607372004858</v>
      </c>
      <c r="AI32" s="35">
        <f t="shared" si="9"/>
        <v>124.83933980563442</v>
      </c>
      <c r="AJ32" s="35">
        <f t="shared" si="10"/>
        <v>55.760680178095221</v>
      </c>
      <c r="AK32" s="35">
        <f t="shared" si="11"/>
        <v>217.27770209763685</v>
      </c>
      <c r="AL32" s="35">
        <f t="shared" si="12"/>
        <v>21.647287503669993</v>
      </c>
      <c r="AM32" s="35">
        <f t="shared" si="13"/>
        <v>272.08861205913229</v>
      </c>
      <c r="AN32" s="35">
        <f t="shared" si="14"/>
        <v>21.130985835427122</v>
      </c>
      <c r="AO32" s="35">
        <f t="shared" si="15"/>
        <v>272.62387475967273</v>
      </c>
      <c r="AP32" s="33"/>
    </row>
    <row r="33" spans="1:42" s="1" customFormat="1">
      <c r="A33" s="22"/>
      <c r="B33" s="25"/>
      <c r="C33" s="25"/>
      <c r="D33" s="25"/>
      <c r="E33" s="25"/>
      <c r="F33" s="25"/>
      <c r="G33" s="25"/>
      <c r="H33" s="25"/>
      <c r="I33" s="25"/>
      <c r="J33" s="25"/>
      <c r="K33" s="25"/>
      <c r="L33" s="25"/>
      <c r="M33" s="25"/>
      <c r="N33" s="72"/>
      <c r="O33" s="8" t="str">
        <f t="shared" si="0"/>
        <v/>
      </c>
      <c r="P33" s="34" t="s">
        <v>46</v>
      </c>
      <c r="Q33" s="29">
        <v>4</v>
      </c>
      <c r="R33" s="30">
        <v>0.25972222222222224</v>
      </c>
      <c r="S33" s="30">
        <v>0.26111111111111113</v>
      </c>
      <c r="T33" s="30">
        <v>0.37361111111111112</v>
      </c>
      <c r="U33" s="30">
        <v>0.48680555555555555</v>
      </c>
      <c r="V33" s="30">
        <v>0.48819444444444443</v>
      </c>
      <c r="W33" s="35">
        <v>60.9</v>
      </c>
      <c r="X33" s="35">
        <v>14.920999999999999</v>
      </c>
      <c r="Y33" s="35">
        <v>-16.73</v>
      </c>
      <c r="Z33" s="35">
        <v>3.1880000000000002</v>
      </c>
      <c r="AA33" s="35">
        <f t="shared" si="1"/>
        <v>-75.074999999999989</v>
      </c>
      <c r="AB33" s="35">
        <f t="shared" si="2"/>
        <v>-74.574999999999974</v>
      </c>
      <c r="AC33" s="35">
        <f t="shared" si="3"/>
        <v>-34.074999999999974</v>
      </c>
      <c r="AD33" s="35">
        <f t="shared" si="4"/>
        <v>6.675000000000022</v>
      </c>
      <c r="AE33" s="35">
        <f t="shared" si="5"/>
        <v>7.1750000000000203</v>
      </c>
      <c r="AF33" s="35">
        <f t="shared" si="6"/>
        <v>-2.217566373624309</v>
      </c>
      <c r="AG33" s="35">
        <f t="shared" si="7"/>
        <v>112.17168337000271</v>
      </c>
      <c r="AH33" s="35">
        <f t="shared" si="8"/>
        <v>-1.8989532751293121</v>
      </c>
      <c r="AI33" s="35">
        <f t="shared" si="9"/>
        <v>112.52936311454235</v>
      </c>
      <c r="AJ33" s="35">
        <f t="shared" si="10"/>
        <v>19.7490162662098</v>
      </c>
      <c r="AK33" s="35">
        <f t="shared" si="11"/>
        <v>145.2432162324383</v>
      </c>
      <c r="AL33" s="35">
        <f t="shared" si="12"/>
        <v>26.533208748611482</v>
      </c>
      <c r="AM33" s="35">
        <f t="shared" si="13"/>
        <v>187.14737436268493</v>
      </c>
      <c r="AN33" s="35">
        <f t="shared" si="14"/>
        <v>26.488757270622852</v>
      </c>
      <c r="AO33" s="35">
        <f t="shared" si="15"/>
        <v>187.68016654812641</v>
      </c>
      <c r="AP33" s="33"/>
    </row>
    <row r="34" spans="1:42" s="1" customFormat="1">
      <c r="A34" s="22"/>
      <c r="B34" s="25"/>
      <c r="C34" s="25"/>
      <c r="D34" s="25"/>
      <c r="E34" s="25"/>
      <c r="F34" s="25"/>
      <c r="G34" s="25"/>
      <c r="H34" s="25"/>
      <c r="I34" s="25"/>
      <c r="J34" s="25"/>
      <c r="K34" s="25"/>
      <c r="L34" s="25"/>
      <c r="M34" s="25"/>
      <c r="N34" s="72"/>
      <c r="O34" s="8" t="str">
        <f t="shared" si="0"/>
        <v/>
      </c>
      <c r="P34" s="34" t="s">
        <v>47</v>
      </c>
      <c r="Q34" s="29">
        <v>2</v>
      </c>
      <c r="R34" s="30">
        <v>1.2500000000000001E-2</v>
      </c>
      <c r="S34" s="30">
        <v>1.3888888888888888E-2</v>
      </c>
      <c r="T34" s="30">
        <v>0.10625</v>
      </c>
      <c r="U34" s="30">
        <v>0.1986111111111111</v>
      </c>
      <c r="V34" s="30">
        <v>0.2</v>
      </c>
      <c r="W34" s="35">
        <v>556.1</v>
      </c>
      <c r="X34" s="35">
        <v>15.093999999999999</v>
      </c>
      <c r="Y34" s="35">
        <v>-17.45</v>
      </c>
      <c r="Z34" s="35">
        <v>3.3570000000000002</v>
      </c>
      <c r="AA34" s="35">
        <f t="shared" si="1"/>
        <v>-164.13499999999999</v>
      </c>
      <c r="AB34" s="35">
        <f t="shared" si="2"/>
        <v>-163.63500000000002</v>
      </c>
      <c r="AC34" s="35">
        <f t="shared" si="3"/>
        <v>-130.38499999999999</v>
      </c>
      <c r="AD34" s="35">
        <f t="shared" si="4"/>
        <v>-97.134999999999991</v>
      </c>
      <c r="AE34" s="35">
        <f t="shared" si="5"/>
        <v>-96.634999999999991</v>
      </c>
      <c r="AF34" s="35">
        <f t="shared" si="6"/>
        <v>-58.166336116764164</v>
      </c>
      <c r="AG34" s="35">
        <f t="shared" si="7"/>
        <v>29.632325045868352</v>
      </c>
      <c r="AH34" s="35">
        <f t="shared" si="8"/>
        <v>-57.993812517416153</v>
      </c>
      <c r="AI34" s="35">
        <f t="shared" si="9"/>
        <v>30.473391904095109</v>
      </c>
      <c r="AJ34" s="35">
        <f t="shared" si="10"/>
        <v>-40.031232806809129</v>
      </c>
      <c r="AK34" s="35">
        <f t="shared" si="11"/>
        <v>71.62485822481645</v>
      </c>
      <c r="AL34" s="35">
        <f t="shared" si="12"/>
        <v>-17.396313423699809</v>
      </c>
      <c r="AM34" s="35">
        <f t="shared" si="13"/>
        <v>97.26833585181835</v>
      </c>
      <c r="AN34" s="35">
        <f t="shared" si="14"/>
        <v>-17.054722637002609</v>
      </c>
      <c r="AO34" s="35">
        <f t="shared" si="15"/>
        <v>97.616888611924153</v>
      </c>
      <c r="AP34" s="33"/>
    </row>
    <row r="35" spans="1:42" s="1" customFormat="1">
      <c r="A35" s="22"/>
      <c r="B35" s="25"/>
      <c r="C35" s="25"/>
      <c r="D35" s="25"/>
      <c r="E35" s="25"/>
      <c r="F35" s="25"/>
      <c r="G35" s="25"/>
      <c r="H35" s="25"/>
      <c r="I35" s="25"/>
      <c r="J35" s="25"/>
      <c r="K35" s="25"/>
      <c r="L35" s="25"/>
      <c r="M35" s="25"/>
      <c r="N35" s="72"/>
      <c r="O35" s="8" t="str">
        <f t="shared" si="0"/>
        <v/>
      </c>
      <c r="P35" s="34" t="s">
        <v>48</v>
      </c>
      <c r="Q35" s="29">
        <v>8</v>
      </c>
      <c r="R35" s="30">
        <v>4.1666666666666664E-2</v>
      </c>
      <c r="S35" s="30">
        <v>4.4444444444444446E-2</v>
      </c>
      <c r="T35" s="30">
        <v>0.10069444444444443</v>
      </c>
      <c r="U35" s="30">
        <v>0.15625</v>
      </c>
      <c r="V35" s="30">
        <v>0.15902777777777777</v>
      </c>
      <c r="W35" s="35">
        <v>838.8</v>
      </c>
      <c r="X35" s="35">
        <v>14.646000000000001</v>
      </c>
      <c r="Y35" s="35">
        <v>-15.5</v>
      </c>
      <c r="Z35" s="35">
        <v>2.9169999999999998</v>
      </c>
      <c r="AA35" s="35">
        <f t="shared" si="1"/>
        <v>-153.51500000000001</v>
      </c>
      <c r="AB35" s="35">
        <f t="shared" si="2"/>
        <v>-152.51500000000004</v>
      </c>
      <c r="AC35" s="35">
        <f t="shared" si="3"/>
        <v>-132.26500000000004</v>
      </c>
      <c r="AD35" s="35">
        <f t="shared" si="4"/>
        <v>-112.26500000000001</v>
      </c>
      <c r="AE35" s="35">
        <f t="shared" si="5"/>
        <v>-111.26500000000001</v>
      </c>
      <c r="AF35" s="35">
        <f t="shared" si="6"/>
        <v>-51.993213430675937</v>
      </c>
      <c r="AG35" s="35">
        <f t="shared" si="7"/>
        <v>44.259897154865456</v>
      </c>
      <c r="AH35" s="35">
        <f t="shared" si="8"/>
        <v>-51.506600512849886</v>
      </c>
      <c r="AI35" s="35">
        <f t="shared" si="9"/>
        <v>45.603414807038796</v>
      </c>
      <c r="AJ35" s="35">
        <f t="shared" si="10"/>
        <v>-39.808214689209663</v>
      </c>
      <c r="AK35" s="35">
        <f t="shared" si="11"/>
        <v>68.174294553769769</v>
      </c>
      <c r="AL35" s="35">
        <f t="shared" si="12"/>
        <v>-26.438950244740784</v>
      </c>
      <c r="AM35" s="35">
        <f t="shared" si="13"/>
        <v>84.842052044687236</v>
      </c>
      <c r="AN35" s="35">
        <f t="shared" si="14"/>
        <v>-25.752365210083578</v>
      </c>
      <c r="AO35" s="35">
        <f t="shared" si="15"/>
        <v>85.594964174552501</v>
      </c>
      <c r="AP35" s="33"/>
    </row>
    <row r="36" spans="1:42" s="1" customFormat="1">
      <c r="A36" s="22"/>
      <c r="B36" s="25"/>
      <c r="C36" s="25"/>
      <c r="D36" s="25"/>
      <c r="E36" s="25"/>
      <c r="F36" s="25"/>
      <c r="G36" s="25"/>
      <c r="H36" s="25"/>
      <c r="I36" s="25"/>
      <c r="J36" s="25"/>
      <c r="K36" s="25"/>
      <c r="L36" s="25"/>
      <c r="M36" s="25"/>
      <c r="N36" s="72"/>
      <c r="O36" s="8" t="str">
        <f t="shared" si="0"/>
        <v/>
      </c>
      <c r="P36" s="34" t="s">
        <v>49</v>
      </c>
      <c r="Q36" s="29">
        <v>7</v>
      </c>
      <c r="R36" s="30">
        <v>0.375</v>
      </c>
      <c r="S36" s="30">
        <v>0.37777777777777777</v>
      </c>
      <c r="T36" s="30">
        <v>0.51736111111111105</v>
      </c>
      <c r="U36" s="30">
        <v>0.65763888888888888</v>
      </c>
      <c r="V36" s="30">
        <v>0.65972222222222221</v>
      </c>
      <c r="W36" s="35">
        <v>484.7</v>
      </c>
      <c r="X36" s="35">
        <v>2.8330000000000002</v>
      </c>
      <c r="Y36" s="35">
        <v>16.34</v>
      </c>
      <c r="Z36" s="35">
        <v>14.891999999999999</v>
      </c>
      <c r="AA36" s="35">
        <f t="shared" si="1"/>
        <v>323.30500000000001</v>
      </c>
      <c r="AB36" s="35">
        <f t="shared" si="2"/>
        <v>324.30500000000001</v>
      </c>
      <c r="AC36" s="35">
        <f t="shared" si="3"/>
        <v>374.55500000000006</v>
      </c>
      <c r="AD36" s="35">
        <f t="shared" si="4"/>
        <v>425.05500000000006</v>
      </c>
      <c r="AE36" s="35">
        <f t="shared" si="5"/>
        <v>425.80500000000001</v>
      </c>
      <c r="AF36" s="35">
        <f t="shared" si="6"/>
        <v>47.22621312503879</v>
      </c>
      <c r="AG36" s="35">
        <f t="shared" si="7"/>
        <v>122.39502147691809</v>
      </c>
      <c r="AH36" s="35">
        <f t="shared" si="8"/>
        <v>47.804296691865439</v>
      </c>
      <c r="AI36" s="35">
        <f t="shared" si="9"/>
        <v>123.52912073049481</v>
      </c>
      <c r="AJ36" s="35">
        <f t="shared" si="10"/>
        <v>57.548420585134515</v>
      </c>
      <c r="AK36" s="35">
        <f t="shared" si="11"/>
        <v>206.70717838823842</v>
      </c>
      <c r="AL36" s="35">
        <f t="shared" si="12"/>
        <v>28.865012459827906</v>
      </c>
      <c r="AM36" s="35">
        <f t="shared" si="13"/>
        <v>263.47700463551786</v>
      </c>
      <c r="AN36" s="35">
        <f t="shared" si="14"/>
        <v>28.35133133446211</v>
      </c>
      <c r="AO36" s="35">
        <f t="shared" si="15"/>
        <v>264.05120163099286</v>
      </c>
      <c r="AP36" s="33"/>
    </row>
    <row r="37" spans="1:42">
      <c r="O37" s="8" t="str">
        <f t="shared" si="0"/>
        <v/>
      </c>
      <c r="P37" s="34" t="s">
        <v>50</v>
      </c>
      <c r="Q37" s="29">
        <v>6</v>
      </c>
      <c r="R37" s="30">
        <v>0.73124999999999996</v>
      </c>
      <c r="S37" s="30">
        <v>0.73263888888888884</v>
      </c>
      <c r="T37" s="30">
        <v>0.83888888888888891</v>
      </c>
      <c r="U37" s="30">
        <v>0.94513888888888886</v>
      </c>
      <c r="V37" s="30">
        <v>0.94652777777777775</v>
      </c>
      <c r="W37" s="35">
        <v>336.4</v>
      </c>
      <c r="X37" s="35">
        <v>14.817</v>
      </c>
      <c r="Y37" s="35">
        <v>-16.27</v>
      </c>
      <c r="Z37" s="35">
        <v>3.0870000000000002</v>
      </c>
      <c r="AA37" s="35">
        <f t="shared" si="1"/>
        <v>94.720000000000013</v>
      </c>
      <c r="AB37" s="35">
        <f t="shared" si="2"/>
        <v>95.219999999999985</v>
      </c>
      <c r="AC37" s="35">
        <f t="shared" si="3"/>
        <v>133.46999999999997</v>
      </c>
      <c r="AD37" s="35">
        <f t="shared" si="4"/>
        <v>171.72</v>
      </c>
      <c r="AE37" s="35">
        <f t="shared" si="5"/>
        <v>172.21999999999994</v>
      </c>
      <c r="AF37" s="35">
        <f t="shared" si="6"/>
        <v>-14.920544855606575</v>
      </c>
      <c r="AG37" s="35">
        <f t="shared" si="7"/>
        <v>261.92225721701732</v>
      </c>
      <c r="AH37" s="35">
        <f t="shared" si="8"/>
        <v>-15.261766113627708</v>
      </c>
      <c r="AI37" s="35">
        <f t="shared" si="9"/>
        <v>262.27187243484263</v>
      </c>
      <c r="AJ37" s="35">
        <f t="shared" si="10"/>
        <v>-41.153484625432142</v>
      </c>
      <c r="AK37" s="35">
        <f t="shared" si="11"/>
        <v>292.29309278825144</v>
      </c>
      <c r="AL37" s="35">
        <f t="shared" si="12"/>
        <v>-59.043272227755871</v>
      </c>
      <c r="AM37" s="35">
        <f t="shared" si="13"/>
        <v>344.40998706494082</v>
      </c>
      <c r="AN37" s="35">
        <f t="shared" si="14"/>
        <v>-59.133196183288852</v>
      </c>
      <c r="AO37" s="35">
        <f t="shared" si="15"/>
        <v>345.32777015971817</v>
      </c>
      <c r="AP37" s="33"/>
    </row>
    <row r="38" spans="1:42">
      <c r="O38" s="8" t="str">
        <f t="shared" ref="O38:O69" si="16">IF(P38=$C$6,"*","")</f>
        <v/>
      </c>
      <c r="P38" s="34" t="s">
        <v>51</v>
      </c>
      <c r="Q38" s="29">
        <v>5</v>
      </c>
      <c r="R38" s="30">
        <v>0.68055555555555547</v>
      </c>
      <c r="S38" s="30">
        <v>0.68333333333333324</v>
      </c>
      <c r="T38" s="30">
        <v>0.81736111111111109</v>
      </c>
      <c r="U38" s="30">
        <v>0.9506944444444444</v>
      </c>
      <c r="V38" s="30">
        <v>0.95347222222222217</v>
      </c>
      <c r="W38" s="35">
        <v>547.20000000000005</v>
      </c>
      <c r="X38" s="35">
        <v>3.0369999999999999</v>
      </c>
      <c r="Y38" s="35">
        <v>17.21</v>
      </c>
      <c r="Z38" s="35">
        <v>15.099</v>
      </c>
      <c r="AA38" s="35">
        <f t="shared" si="1"/>
        <v>433.35</v>
      </c>
      <c r="AB38" s="35">
        <f t="shared" si="2"/>
        <v>434.35</v>
      </c>
      <c r="AC38" s="35">
        <f t="shared" si="3"/>
        <v>482.60000000000008</v>
      </c>
      <c r="AD38" s="35">
        <f t="shared" si="4"/>
        <v>530.6</v>
      </c>
      <c r="AE38" s="35">
        <f t="shared" si="5"/>
        <v>531.6</v>
      </c>
      <c r="AF38" s="35">
        <f t="shared" ref="AF38:AF69" si="17">$Z$103*ASIN(SIN($Z$102*$Y38)*SIN($Z$102*$C$12)+COS($Z$102*$Y38)*COS($Z$102*AA38)*COS($Z$102*$C$12))</f>
        <v>23.766807610573498</v>
      </c>
      <c r="AG38" s="35">
        <f t="shared" ref="AG38:AG69" si="18">IF(SIN($Z$102*AA38)&lt;0,ACOS((SIN($Z$102*$Y38)-SIN($Z$102*AF38)*SIN($Z$102*$C$12))/(COS($Z$102*AF38)*COS($Z$102*$C$12)))/$Z$102,360-ACOS((SIN($Z$102*$Y38)-SIN($Z$102*AF38)*SIN($Z$102*$C$12))/(COS($Z$102*AF38)*COS($Z$102*$C$12)))/$Z$102)</f>
        <v>270.34348199751173</v>
      </c>
      <c r="AH38" s="35">
        <f t="shared" si="8"/>
        <v>23.077876894769233</v>
      </c>
      <c r="AI38" s="35">
        <f t="shared" si="9"/>
        <v>271.06459664928764</v>
      </c>
      <c r="AJ38" s="35">
        <f t="shared" ref="AJ38:AJ69" si="19">$Z$103*ASIN(SIN($Z$102*$Y38)*SIN($Z$102*$C$12)+COS($Z$102*$Y38)*COS($Z$102*AC38)*COS($Z$102*$C$12))</f>
        <v>-8.0561768319926994</v>
      </c>
      <c r="AK38" s="35">
        <f t="shared" ref="AK38:AK69" si="20">IF(SIN($Z$102*AC38)&lt;0,ACOS((SIN($Z$102*$Y38)-SIN($Z$102*AJ38)*SIN($Z$102*$C$12))/(COS($Z$102*AJ38)*COS($Z$102*$C$12)))/$Z$102,360-ACOS((SIN($Z$102*$Y38)-SIN($Z$102*AJ38)*SIN($Z$102*$C$12))/(COS($Z$102*AJ38)*COS($Z$102*$C$12)))/$Z$102)</f>
        <v>305.6341148280419</v>
      </c>
      <c r="AL38" s="35">
        <f t="shared" si="12"/>
        <v>-25.776357977127088</v>
      </c>
      <c r="AM38" s="35">
        <f t="shared" si="13"/>
        <v>350.02303592947965</v>
      </c>
      <c r="AN38" s="35">
        <f t="shared" ref="AN38:AN69" si="21">$Z$103*ASIN(SIN($Z$102*$Y38)*SIN($Z$102*$C$12)+COS($Z$102*$Y38)*COS($Z$102*AE38)*COS($Z$102*$C$12))</f>
        <v>-25.889482338456602</v>
      </c>
      <c r="AO38" s="35">
        <f t="shared" si="15"/>
        <v>351.07685159597116</v>
      </c>
      <c r="AP38" s="33"/>
    </row>
    <row r="39" spans="1:42">
      <c r="O39" s="8" t="str">
        <f t="shared" si="16"/>
        <v/>
      </c>
      <c r="P39" s="34" t="s">
        <v>52</v>
      </c>
      <c r="Q39" s="29">
        <v>4</v>
      </c>
      <c r="R39" s="30">
        <v>0.46180555555555558</v>
      </c>
      <c r="S39" s="30">
        <v>0.46319444444444446</v>
      </c>
      <c r="T39" s="30">
        <v>0.57499999999999996</v>
      </c>
      <c r="U39" s="30">
        <v>0.68611111111111101</v>
      </c>
      <c r="V39" s="30">
        <v>0.6875</v>
      </c>
      <c r="W39" s="35">
        <v>163</v>
      </c>
      <c r="X39" s="35">
        <v>14.991</v>
      </c>
      <c r="Y39" s="35">
        <v>-17.02</v>
      </c>
      <c r="Z39" s="35">
        <v>3.2570000000000001</v>
      </c>
      <c r="AA39" s="35">
        <f t="shared" si="1"/>
        <v>-2.339999999999991</v>
      </c>
      <c r="AB39" s="35">
        <f t="shared" si="2"/>
        <v>-1.8399999999999928</v>
      </c>
      <c r="AC39" s="35">
        <f t="shared" si="3"/>
        <v>38.410000000000039</v>
      </c>
      <c r="AD39" s="35">
        <f t="shared" si="4"/>
        <v>78.410000000000011</v>
      </c>
      <c r="AE39" s="35">
        <f t="shared" si="5"/>
        <v>78.910000000000025</v>
      </c>
      <c r="AF39" s="35">
        <f t="shared" si="17"/>
        <v>26.494824876197917</v>
      </c>
      <c r="AG39" s="35">
        <f t="shared" si="18"/>
        <v>177.4998149478279</v>
      </c>
      <c r="AH39" s="35">
        <f t="shared" si="8"/>
        <v>26.508248561380451</v>
      </c>
      <c r="AI39" s="35">
        <f t="shared" si="9"/>
        <v>178.03384231590897</v>
      </c>
      <c r="AJ39" s="35">
        <f t="shared" si="19"/>
        <v>17.703404736487503</v>
      </c>
      <c r="AK39" s="35">
        <f t="shared" si="20"/>
        <v>218.57992764999571</v>
      </c>
      <c r="AL39" s="35">
        <f t="shared" si="12"/>
        <v>-4.5762277528564104</v>
      </c>
      <c r="AM39" s="35">
        <f t="shared" si="13"/>
        <v>250.00151924382686</v>
      </c>
      <c r="AN39" s="35">
        <f t="shared" si="21"/>
        <v>-4.9003096944834725</v>
      </c>
      <c r="AO39" s="35">
        <f t="shared" si="15"/>
        <v>250.35422425467149</v>
      </c>
      <c r="AP39" s="33"/>
    </row>
    <row r="40" spans="1:42">
      <c r="O40" s="8" t="str">
        <f t="shared" si="16"/>
        <v/>
      </c>
      <c r="P40" s="34" t="s">
        <v>53</v>
      </c>
      <c r="Q40" s="29">
        <v>2</v>
      </c>
      <c r="R40" s="30">
        <v>0.22083333333333333</v>
      </c>
      <c r="S40" s="30">
        <v>0.22291666666666665</v>
      </c>
      <c r="T40" s="30">
        <v>0.30486111111111108</v>
      </c>
      <c r="U40" s="30">
        <v>0.38750000000000001</v>
      </c>
      <c r="V40" s="30">
        <v>0.38958333333333334</v>
      </c>
      <c r="W40" s="35">
        <v>657.9</v>
      </c>
      <c r="X40" s="35">
        <v>15.166</v>
      </c>
      <c r="Y40" s="35">
        <v>-17.739999999999998</v>
      </c>
      <c r="Z40" s="35">
        <v>3.427</v>
      </c>
      <c r="AA40" s="35">
        <f t="shared" si="1"/>
        <v>-89.165000000000006</v>
      </c>
      <c r="AB40" s="35">
        <f t="shared" si="2"/>
        <v>-88.41500000000002</v>
      </c>
      <c r="AC40" s="35">
        <f t="shared" si="3"/>
        <v>-58.915000000000006</v>
      </c>
      <c r="AD40" s="35">
        <f t="shared" si="4"/>
        <v>-29.164999999999999</v>
      </c>
      <c r="AE40" s="35">
        <f t="shared" si="5"/>
        <v>-28.415000000000013</v>
      </c>
      <c r="AF40" s="35">
        <f t="shared" si="17"/>
        <v>-12.197016110918543</v>
      </c>
      <c r="AG40" s="35">
        <f t="shared" si="18"/>
        <v>103.00720542809316</v>
      </c>
      <c r="AH40" s="35">
        <f t="shared" si="8"/>
        <v>-11.694067361168146</v>
      </c>
      <c r="AI40" s="35">
        <f t="shared" si="9"/>
        <v>103.5257015696188</v>
      </c>
      <c r="AJ40" s="35">
        <f t="shared" si="19"/>
        <v>6.7754248725792205</v>
      </c>
      <c r="AK40" s="35">
        <f t="shared" si="20"/>
        <v>124.77319722804691</v>
      </c>
      <c r="AL40" s="35">
        <f t="shared" si="12"/>
        <v>20.621442786234233</v>
      </c>
      <c r="AM40" s="35">
        <f t="shared" si="13"/>
        <v>150.26899015144008</v>
      </c>
      <c r="AN40" s="35">
        <f t="shared" si="21"/>
        <v>20.874908345586398</v>
      </c>
      <c r="AO40" s="35">
        <f t="shared" si="15"/>
        <v>150.98316407040392</v>
      </c>
      <c r="AP40" s="33"/>
    </row>
    <row r="41" spans="1:42">
      <c r="O41" s="8" t="str">
        <f t="shared" si="16"/>
        <v/>
      </c>
      <c r="P41" s="34" t="s">
        <v>54</v>
      </c>
      <c r="Q41" s="29">
        <v>8</v>
      </c>
      <c r="R41" s="30">
        <v>0.22638888888888889</v>
      </c>
      <c r="S41" s="30">
        <v>0.22777777777777777</v>
      </c>
      <c r="T41" s="30">
        <v>0.30138888888888887</v>
      </c>
      <c r="U41" s="30">
        <v>0.375</v>
      </c>
      <c r="V41" s="30">
        <v>0.37708333333333338</v>
      </c>
      <c r="W41" s="35">
        <v>735.1</v>
      </c>
      <c r="X41" s="35">
        <v>14.715</v>
      </c>
      <c r="Y41" s="35">
        <v>-15.81</v>
      </c>
      <c r="Z41" s="35">
        <v>2.9870000000000001</v>
      </c>
      <c r="AA41" s="35">
        <f t="shared" si="1"/>
        <v>-86.999999999999986</v>
      </c>
      <c r="AB41" s="35">
        <f t="shared" si="2"/>
        <v>-86.499999999999986</v>
      </c>
      <c r="AC41" s="35">
        <f t="shared" si="3"/>
        <v>-60.000000000000014</v>
      </c>
      <c r="AD41" s="35">
        <f t="shared" si="4"/>
        <v>-33.499999999999993</v>
      </c>
      <c r="AE41" s="35">
        <f t="shared" si="5"/>
        <v>-32.749999999999986</v>
      </c>
      <c r="AF41" s="35">
        <f t="shared" si="17"/>
        <v>-9.3676248551682271</v>
      </c>
      <c r="AG41" s="35">
        <f t="shared" si="18"/>
        <v>103.13466420125704</v>
      </c>
      <c r="AH41" s="35">
        <f t="shared" si="8"/>
        <v>-9.0323844614835131</v>
      </c>
      <c r="AI41" s="35">
        <f t="shared" si="9"/>
        <v>103.48420721440711</v>
      </c>
      <c r="AJ41" s="35">
        <f t="shared" si="19"/>
        <v>7.7007079747996112</v>
      </c>
      <c r="AK41" s="35">
        <f t="shared" si="20"/>
        <v>122.77030951971513</v>
      </c>
      <c r="AL41" s="35">
        <f t="shared" si="12"/>
        <v>20.814228684172772</v>
      </c>
      <c r="AM41" s="35">
        <f t="shared" si="13"/>
        <v>145.37969490207618</v>
      </c>
      <c r="AN41" s="35">
        <f t="shared" si="21"/>
        <v>21.105177972728512</v>
      </c>
      <c r="AO41" s="35">
        <f t="shared" si="15"/>
        <v>146.08686284845865</v>
      </c>
      <c r="AP41" s="33"/>
    </row>
    <row r="42" spans="1:42">
      <c r="O42" s="8" t="str">
        <f t="shared" si="16"/>
        <v/>
      </c>
      <c r="P42" s="34" t="s">
        <v>55</v>
      </c>
      <c r="Q42" s="29">
        <v>7</v>
      </c>
      <c r="R42" s="30">
        <v>0.63402777777777775</v>
      </c>
      <c r="S42" s="30">
        <v>0.63611111111111118</v>
      </c>
      <c r="T42" s="30">
        <v>0.79166666666666663</v>
      </c>
      <c r="U42" s="30">
        <v>0.9472222222222223</v>
      </c>
      <c r="V42" s="30">
        <v>0.94930555555555562</v>
      </c>
      <c r="W42" s="35">
        <v>287.3</v>
      </c>
      <c r="X42" s="35">
        <v>2.907</v>
      </c>
      <c r="Y42" s="35">
        <v>16.66</v>
      </c>
      <c r="Z42" s="35">
        <v>14.965999999999999</v>
      </c>
      <c r="AA42" s="35">
        <f t="shared" si="1"/>
        <v>416.55500000000001</v>
      </c>
      <c r="AB42" s="35">
        <f t="shared" si="2"/>
        <v>417.30500000000001</v>
      </c>
      <c r="AC42" s="35">
        <f t="shared" si="3"/>
        <v>473.30500000000001</v>
      </c>
      <c r="AD42" s="35">
        <f t="shared" si="4"/>
        <v>529.30499999999995</v>
      </c>
      <c r="AE42" s="35">
        <f t="shared" si="5"/>
        <v>530.05499999999995</v>
      </c>
      <c r="AF42" s="35">
        <f t="shared" si="17"/>
        <v>34.859964808838022</v>
      </c>
      <c r="AG42" s="35">
        <f t="shared" si="18"/>
        <v>256.9591293284559</v>
      </c>
      <c r="AH42" s="35">
        <f t="shared" si="8"/>
        <v>34.355927352876442</v>
      </c>
      <c r="AI42" s="35">
        <f t="shared" si="9"/>
        <v>257.58128717994651</v>
      </c>
      <c r="AJ42" s="35">
        <f t="shared" si="19"/>
        <v>-3.0583152320765694</v>
      </c>
      <c r="AK42" s="35">
        <f t="shared" si="20"/>
        <v>298.22290158797904</v>
      </c>
      <c r="AL42" s="35">
        <f t="shared" si="12"/>
        <v>-26.155768527071352</v>
      </c>
      <c r="AM42" s="35">
        <f t="shared" si="13"/>
        <v>348.57566502106607</v>
      </c>
      <c r="AN42" s="35">
        <f t="shared" si="21"/>
        <v>-26.25461323593473</v>
      </c>
      <c r="AO42" s="35">
        <f t="shared" si="15"/>
        <v>349.36887950208353</v>
      </c>
      <c r="AP42" s="33"/>
    </row>
    <row r="43" spans="1:42">
      <c r="O43" s="8" t="str">
        <f t="shared" si="16"/>
        <v/>
      </c>
      <c r="P43" s="34" t="s">
        <v>56</v>
      </c>
      <c r="Q43" s="29">
        <v>6</v>
      </c>
      <c r="R43" s="30">
        <v>0.92847222222222225</v>
      </c>
      <c r="S43" s="30">
        <v>0.92986111111111114</v>
      </c>
      <c r="T43" s="30">
        <v>3.9583333333333331E-2</v>
      </c>
      <c r="U43" s="30">
        <v>0.15</v>
      </c>
      <c r="V43" s="30">
        <v>0.15138888888888888</v>
      </c>
      <c r="W43" s="35">
        <v>231.8</v>
      </c>
      <c r="X43" s="35">
        <v>14.888</v>
      </c>
      <c r="Y43" s="35">
        <v>-16.579999999999998</v>
      </c>
      <c r="Z43" s="35">
        <v>3.157</v>
      </c>
      <c r="AA43" s="35">
        <f t="shared" si="1"/>
        <v>165.70500000000001</v>
      </c>
      <c r="AB43" s="35">
        <f t="shared" si="2"/>
        <v>166.20499999999998</v>
      </c>
      <c r="AC43" s="35">
        <f t="shared" si="3"/>
        <v>-154.29499999999999</v>
      </c>
      <c r="AD43" s="35">
        <f t="shared" si="4"/>
        <v>-114.545</v>
      </c>
      <c r="AE43" s="35">
        <f t="shared" si="5"/>
        <v>-114.045</v>
      </c>
      <c r="AF43" s="35">
        <f t="shared" si="17"/>
        <v>-57.855796039024398</v>
      </c>
      <c r="AG43" s="35">
        <f t="shared" si="18"/>
        <v>333.59046899144016</v>
      </c>
      <c r="AH43" s="35">
        <f t="shared" si="8"/>
        <v>-58.00671204574455</v>
      </c>
      <c r="AI43" s="35">
        <f t="shared" si="9"/>
        <v>334.44712734828175</v>
      </c>
      <c r="AJ43" s="35">
        <f t="shared" si="19"/>
        <v>-53.303271783229256</v>
      </c>
      <c r="AK43" s="35">
        <f t="shared" si="20"/>
        <v>44.07874163729538</v>
      </c>
      <c r="AL43" s="35">
        <f t="shared" si="12"/>
        <v>-28.759071336907201</v>
      </c>
      <c r="AM43" s="35">
        <f t="shared" si="13"/>
        <v>83.979080453713351</v>
      </c>
      <c r="AN43" s="35">
        <f t="shared" si="21"/>
        <v>-28.416360186807513</v>
      </c>
      <c r="AO43" s="35">
        <f t="shared" si="15"/>
        <v>84.360537798443161</v>
      </c>
      <c r="AP43" s="33"/>
    </row>
    <row r="44" spans="1:42" ht="16" customHeight="1">
      <c r="O44" s="8" t="str">
        <f t="shared" si="16"/>
        <v/>
      </c>
      <c r="P44" s="34" t="s">
        <v>57</v>
      </c>
      <c r="Q44" s="29">
        <v>5</v>
      </c>
      <c r="R44" s="30">
        <v>0.99791666666666667</v>
      </c>
      <c r="S44" s="30">
        <v>0.99791666666666667</v>
      </c>
      <c r="T44" s="30">
        <v>9.8611111111111108E-2</v>
      </c>
      <c r="U44" s="30">
        <v>0.19930555555555554</v>
      </c>
      <c r="V44" s="30">
        <v>0.19930555555555554</v>
      </c>
      <c r="W44" s="35">
        <v>753.6</v>
      </c>
      <c r="X44" s="35">
        <v>3.1120000000000001</v>
      </c>
      <c r="Y44" s="35">
        <v>17.52</v>
      </c>
      <c r="Z44" s="35">
        <v>15.173999999999999</v>
      </c>
      <c r="AA44" s="35">
        <f t="shared" si="1"/>
        <v>547.6</v>
      </c>
      <c r="AB44" s="35">
        <f t="shared" si="2"/>
        <v>547.6</v>
      </c>
      <c r="AC44" s="35">
        <f t="shared" si="3"/>
        <v>223.85</v>
      </c>
      <c r="AD44" s="35">
        <f t="shared" si="4"/>
        <v>260.10000000000002</v>
      </c>
      <c r="AE44" s="35">
        <f t="shared" si="5"/>
        <v>260.10000000000002</v>
      </c>
      <c r="AF44" s="35">
        <f t="shared" si="17"/>
        <v>-25.662552940121223</v>
      </c>
      <c r="AG44" s="35">
        <f t="shared" si="18"/>
        <v>8.0434060108719017</v>
      </c>
      <c r="AH44" s="35">
        <f t="shared" si="8"/>
        <v>-25.662552940121223</v>
      </c>
      <c r="AI44" s="35">
        <f t="shared" si="9"/>
        <v>8.0434060108719017</v>
      </c>
      <c r="AJ44" s="35">
        <f t="shared" si="19"/>
        <v>-14.81114120614016</v>
      </c>
      <c r="AK44" s="35">
        <f t="shared" si="20"/>
        <v>43.105296973586412</v>
      </c>
      <c r="AL44" s="35">
        <f t="shared" si="12"/>
        <v>6.0400062605563853</v>
      </c>
      <c r="AM44" s="35">
        <f t="shared" si="13"/>
        <v>70.8487952615898</v>
      </c>
      <c r="AN44" s="35">
        <f t="shared" si="21"/>
        <v>6.0400062605563853</v>
      </c>
      <c r="AO44" s="35">
        <f t="shared" si="15"/>
        <v>70.8487952615898</v>
      </c>
      <c r="AP44" s="33"/>
    </row>
    <row r="45" spans="1:42">
      <c r="O45" s="8" t="str">
        <f t="shared" si="16"/>
        <v/>
      </c>
      <c r="P45" s="34" t="s">
        <v>58</v>
      </c>
      <c r="Q45" s="29">
        <v>4</v>
      </c>
      <c r="R45" s="30">
        <v>0.6645833333333333</v>
      </c>
      <c r="S45" s="30">
        <v>0.66527777777777775</v>
      </c>
      <c r="T45" s="30">
        <v>0.77430555555555547</v>
      </c>
      <c r="U45" s="30">
        <v>0.88263888888888886</v>
      </c>
      <c r="V45" s="30">
        <v>0.88402777777777775</v>
      </c>
      <c r="W45" s="35">
        <v>266.2</v>
      </c>
      <c r="X45" s="35">
        <v>15.061</v>
      </c>
      <c r="Y45" s="35">
        <v>-17.309999999999999</v>
      </c>
      <c r="Z45" s="35">
        <v>3.327</v>
      </c>
      <c r="AA45" s="35">
        <f t="shared" si="1"/>
        <v>70.659999999999968</v>
      </c>
      <c r="AB45" s="35">
        <f t="shared" si="2"/>
        <v>70.909999999999954</v>
      </c>
      <c r="AC45" s="35">
        <f t="shared" si="3"/>
        <v>110.15999999999995</v>
      </c>
      <c r="AD45" s="35">
        <f t="shared" si="4"/>
        <v>149.15999999999997</v>
      </c>
      <c r="AE45" s="35">
        <f t="shared" si="5"/>
        <v>149.65999999999994</v>
      </c>
      <c r="AF45" s="35">
        <f t="shared" si="17"/>
        <v>0.12546146155719726</v>
      </c>
      <c r="AG45" s="35">
        <f t="shared" si="18"/>
        <v>244.26827987574569</v>
      </c>
      <c r="AH45" s="35">
        <f t="shared" si="8"/>
        <v>-2.9822872452442275E-2</v>
      </c>
      <c r="AI45" s="35">
        <f t="shared" si="9"/>
        <v>244.44953556900717</v>
      </c>
      <c r="AJ45" s="35">
        <f t="shared" si="19"/>
        <v>-26.253928765260596</v>
      </c>
      <c r="AK45" s="35">
        <f t="shared" si="20"/>
        <v>272.13892587158546</v>
      </c>
      <c r="AL45" s="35">
        <f t="shared" si="12"/>
        <v>-51.299368947139776</v>
      </c>
      <c r="AM45" s="35">
        <f t="shared" si="13"/>
        <v>308.48564093510561</v>
      </c>
      <c r="AN45" s="35">
        <f t="shared" si="21"/>
        <v>-51.567838241747673</v>
      </c>
      <c r="AO45" s="35">
        <f t="shared" si="15"/>
        <v>309.11877226555066</v>
      </c>
      <c r="AP45" s="33"/>
    </row>
    <row r="46" spans="1:42">
      <c r="O46" s="8" t="str">
        <f t="shared" si="16"/>
        <v/>
      </c>
      <c r="P46" s="34" t="s">
        <v>59</v>
      </c>
      <c r="Q46" s="29">
        <v>2</v>
      </c>
      <c r="R46" s="30">
        <v>0.43333333333333335</v>
      </c>
      <c r="S46" s="30">
        <v>0.43472222222222223</v>
      </c>
      <c r="T46" s="30">
        <v>0.50486111111111109</v>
      </c>
      <c r="U46" s="30">
        <v>0.57430555555555551</v>
      </c>
      <c r="V46" s="30">
        <v>0.57638888888888895</v>
      </c>
      <c r="W46" s="35">
        <v>758.6</v>
      </c>
      <c r="X46" s="35">
        <v>15.236000000000001</v>
      </c>
      <c r="Y46" s="35">
        <v>-18.010000000000002</v>
      </c>
      <c r="Z46" s="35">
        <v>3.496</v>
      </c>
      <c r="AA46" s="35">
        <f t="shared" si="1"/>
        <v>-12.679999999999998</v>
      </c>
      <c r="AB46" s="35">
        <f t="shared" si="2"/>
        <v>-12.180000000000001</v>
      </c>
      <c r="AC46" s="35">
        <f t="shared" si="3"/>
        <v>13.070000000000004</v>
      </c>
      <c r="AD46" s="35">
        <f t="shared" si="4"/>
        <v>38.069999999999993</v>
      </c>
      <c r="AE46" s="35">
        <f t="shared" si="5"/>
        <v>38.819999999999951</v>
      </c>
      <c r="AF46" s="35">
        <f t="shared" si="17"/>
        <v>24.529448887750117</v>
      </c>
      <c r="AG46" s="35">
        <f t="shared" si="18"/>
        <v>166.73473932934144</v>
      </c>
      <c r="AH46" s="35">
        <f t="shared" si="8"/>
        <v>24.606986273805784</v>
      </c>
      <c r="AI46" s="35">
        <f t="shared" si="9"/>
        <v>167.25057678106276</v>
      </c>
      <c r="AJ46" s="35">
        <f t="shared" si="19"/>
        <v>24.466875318228492</v>
      </c>
      <c r="AK46" s="35">
        <f t="shared" si="20"/>
        <v>193.66700216605588</v>
      </c>
      <c r="AL46" s="35">
        <f t="shared" si="12"/>
        <v>16.962542045560184</v>
      </c>
      <c r="AM46" s="35">
        <f t="shared" si="13"/>
        <v>217.81272313965954</v>
      </c>
      <c r="AN46" s="35">
        <f t="shared" si="21"/>
        <v>16.643368822758486</v>
      </c>
      <c r="AO46" s="35">
        <f t="shared" si="15"/>
        <v>218.47902523536681</v>
      </c>
      <c r="AP46" s="33"/>
    </row>
    <row r="47" spans="1:42">
      <c r="O47" s="8" t="str">
        <f t="shared" si="16"/>
        <v/>
      </c>
      <c r="P47" s="34" t="s">
        <v>60</v>
      </c>
      <c r="Q47" s="29">
        <v>8</v>
      </c>
      <c r="R47" s="30">
        <v>0.4145833333333333</v>
      </c>
      <c r="S47" s="30">
        <v>0.41597222222222219</v>
      </c>
      <c r="T47" s="30">
        <v>0.50208333333333333</v>
      </c>
      <c r="U47" s="30">
        <v>0.58819444444444446</v>
      </c>
      <c r="V47" s="30">
        <v>0.58958333333333335</v>
      </c>
      <c r="W47" s="35">
        <v>630.70000000000005</v>
      </c>
      <c r="X47" s="35">
        <v>14.785</v>
      </c>
      <c r="Y47" s="35">
        <v>-16.12</v>
      </c>
      <c r="Z47" s="35">
        <v>3.056</v>
      </c>
      <c r="AA47" s="35">
        <f t="shared" si="1"/>
        <v>-19.265000000000001</v>
      </c>
      <c r="AB47" s="35">
        <f t="shared" si="2"/>
        <v>-18.765000000000001</v>
      </c>
      <c r="AC47" s="35">
        <f t="shared" si="3"/>
        <v>12.235000000000023</v>
      </c>
      <c r="AD47" s="35">
        <f t="shared" si="4"/>
        <v>43.235000000000021</v>
      </c>
      <c r="AE47" s="35">
        <f t="shared" si="5"/>
        <v>43.734999999999992</v>
      </c>
      <c r="AF47" s="35">
        <f t="shared" si="17"/>
        <v>25.062084397751857</v>
      </c>
      <c r="AG47" s="35">
        <f t="shared" si="18"/>
        <v>159.51821221911649</v>
      </c>
      <c r="AH47" s="35">
        <f t="shared" si="8"/>
        <v>25.181177633128836</v>
      </c>
      <c r="AI47" s="35">
        <f t="shared" si="9"/>
        <v>160.03217203905069</v>
      </c>
      <c r="AJ47" s="35">
        <f t="shared" si="19"/>
        <v>26.463694141305293</v>
      </c>
      <c r="AK47" s="35">
        <f t="shared" si="20"/>
        <v>193.14517876729795</v>
      </c>
      <c r="AL47" s="35">
        <f t="shared" si="12"/>
        <v>16.319455421225477</v>
      </c>
      <c r="AM47" s="35">
        <f t="shared" si="13"/>
        <v>223.28960484353846</v>
      </c>
      <c r="AN47" s="35">
        <f t="shared" si="21"/>
        <v>16.082290658878435</v>
      </c>
      <c r="AO47" s="35">
        <f t="shared" si="15"/>
        <v>223.72458717715307</v>
      </c>
      <c r="AP47" s="33"/>
    </row>
    <row r="48" spans="1:42">
      <c r="O48" s="8" t="str">
        <f t="shared" si="16"/>
        <v/>
      </c>
      <c r="P48" s="34" t="s">
        <v>61</v>
      </c>
      <c r="Q48" s="29">
        <v>7</v>
      </c>
      <c r="R48" s="30">
        <v>0.90555555555555556</v>
      </c>
      <c r="S48" s="30">
        <v>0.90763888888888899</v>
      </c>
      <c r="T48" s="30">
        <v>7.013888888888889E-2</v>
      </c>
      <c r="U48" s="30">
        <v>0.23263888888888887</v>
      </c>
      <c r="V48" s="30">
        <v>0.23472222222222219</v>
      </c>
      <c r="W48" s="35">
        <v>84.6</v>
      </c>
      <c r="X48" s="35">
        <v>2.9809999999999999</v>
      </c>
      <c r="Y48" s="35">
        <v>16.97</v>
      </c>
      <c r="Z48" s="35">
        <v>15.041</v>
      </c>
      <c r="AA48" s="35">
        <f t="shared" si="1"/>
        <v>514.31999999999994</v>
      </c>
      <c r="AB48" s="35">
        <f t="shared" si="2"/>
        <v>515.06999999999994</v>
      </c>
      <c r="AC48" s="35">
        <f t="shared" si="3"/>
        <v>213.57</v>
      </c>
      <c r="AD48" s="35">
        <f t="shared" si="4"/>
        <v>272.07</v>
      </c>
      <c r="AE48" s="35">
        <f t="shared" si="5"/>
        <v>272.82000000000005</v>
      </c>
      <c r="AF48" s="35">
        <f t="shared" si="17"/>
        <v>-22.479799445631006</v>
      </c>
      <c r="AG48" s="35">
        <f t="shared" si="18"/>
        <v>333.34868048319476</v>
      </c>
      <c r="AH48" s="35">
        <f t="shared" si="8"/>
        <v>-22.708616529776556</v>
      </c>
      <c r="AI48" s="35">
        <f t="shared" si="9"/>
        <v>334.08507071137075</v>
      </c>
      <c r="AJ48" s="35">
        <f t="shared" si="19"/>
        <v>-19.726766459411792</v>
      </c>
      <c r="AK48" s="35">
        <f t="shared" si="20"/>
        <v>34.183961353181644</v>
      </c>
      <c r="AL48" s="35">
        <f t="shared" si="12"/>
        <v>13.61185495177145</v>
      </c>
      <c r="AM48" s="35">
        <f t="shared" si="13"/>
        <v>79.56359546141617</v>
      </c>
      <c r="AN48" s="35">
        <f t="shared" si="21"/>
        <v>14.120465360157855</v>
      </c>
      <c r="AO48" s="35">
        <f t="shared" si="15"/>
        <v>80.084643661699999</v>
      </c>
      <c r="AP48" s="33"/>
    </row>
    <row r="49" spans="1:42">
      <c r="O49" s="8" t="str">
        <f t="shared" si="16"/>
        <v/>
      </c>
      <c r="P49" s="34" t="s">
        <v>62</v>
      </c>
      <c r="Q49" s="29">
        <v>6</v>
      </c>
      <c r="R49" s="30">
        <v>0.12638888888888888</v>
      </c>
      <c r="S49" s="30">
        <v>0.1277777777777778</v>
      </c>
      <c r="T49" s="30">
        <v>0.24027777777777778</v>
      </c>
      <c r="U49" s="30">
        <v>0.3520833333333333</v>
      </c>
      <c r="V49" s="30">
        <v>0.35347222222222219</v>
      </c>
      <c r="W49" s="35">
        <v>128.69999999999999</v>
      </c>
      <c r="X49" s="35">
        <v>14.958</v>
      </c>
      <c r="Y49" s="35">
        <v>-16.87</v>
      </c>
      <c r="Z49" s="35">
        <v>3.226</v>
      </c>
      <c r="AA49" s="35">
        <f t="shared" si="1"/>
        <v>-123.06000000000002</v>
      </c>
      <c r="AB49" s="35">
        <f t="shared" si="2"/>
        <v>-122.55999999999999</v>
      </c>
      <c r="AC49" s="35">
        <f t="shared" si="3"/>
        <v>-82.06</v>
      </c>
      <c r="AD49" s="35">
        <f t="shared" si="4"/>
        <v>-41.810000000000024</v>
      </c>
      <c r="AE49" s="35">
        <f t="shared" si="5"/>
        <v>-41.310000000000031</v>
      </c>
      <c r="AF49" s="35">
        <f t="shared" si="17"/>
        <v>-34.750904595244585</v>
      </c>
      <c r="AG49" s="35">
        <f t="shared" si="18"/>
        <v>77.458460325896468</v>
      </c>
      <c r="AH49" s="35">
        <f t="shared" si="8"/>
        <v>-34.414363934456546</v>
      </c>
      <c r="AI49" s="35">
        <f t="shared" si="9"/>
        <v>77.871583737749873</v>
      </c>
      <c r="AJ49" s="35">
        <f t="shared" si="19"/>
        <v>-6.8489276990498631</v>
      </c>
      <c r="AK49" s="35">
        <f t="shared" si="20"/>
        <v>107.33028006031009</v>
      </c>
      <c r="AL49" s="35">
        <f t="shared" si="12"/>
        <v>16.326659496320055</v>
      </c>
      <c r="AM49" s="35">
        <f t="shared" si="13"/>
        <v>138.33449328600514</v>
      </c>
      <c r="AN49" s="35">
        <f t="shared" si="21"/>
        <v>16.554685649828347</v>
      </c>
      <c r="AO49" s="35">
        <f t="shared" si="15"/>
        <v>138.77308006206786</v>
      </c>
      <c r="AP49" s="33"/>
    </row>
    <row r="50" spans="1:42">
      <c r="O50" s="8" t="str">
        <f t="shared" si="16"/>
        <v>*</v>
      </c>
      <c r="P50" s="34" t="s">
        <v>63</v>
      </c>
      <c r="Q50" s="29">
        <v>5</v>
      </c>
      <c r="R50" s="30">
        <v>0.37013888888888885</v>
      </c>
      <c r="S50" s="44" t="s">
        <v>13</v>
      </c>
      <c r="T50" s="30">
        <v>0.3743055555555555</v>
      </c>
      <c r="U50" s="44" t="s">
        <v>13</v>
      </c>
      <c r="V50" s="30">
        <v>0.37916666666666665</v>
      </c>
      <c r="W50" s="35">
        <v>955.5</v>
      </c>
      <c r="X50" s="35">
        <v>3.1869999999999998</v>
      </c>
      <c r="Y50" s="35">
        <v>17.809999999999999</v>
      </c>
      <c r="Z50" s="35">
        <v>15.247999999999999</v>
      </c>
      <c r="AA50" s="35">
        <f t="shared" ref="AA50:AA81" si="22">15*($Z50+HOUR(R50)+(MINUTE(R50)/60)-$X50)+$C$13</f>
        <v>321.58499999999998</v>
      </c>
      <c r="AB50" s="71" t="s">
        <v>13</v>
      </c>
      <c r="AC50" s="35">
        <f t="shared" ref="AC50:AC81" si="23">15*($Z50+HOUR(T50)+(MINUTE(T50)/60)-$X50)+$C$13</f>
        <v>323.08499999999998</v>
      </c>
      <c r="AD50" s="71" t="s">
        <v>13</v>
      </c>
      <c r="AE50" s="35">
        <f t="shared" ref="AE50:AE81" si="24">15*($Z50+HOUR(V50)+(MINUTE(V50)/60)-$X50)+$C$13</f>
        <v>324.83499999999998</v>
      </c>
      <c r="AF50" s="35">
        <f t="shared" si="17"/>
        <v>47.362308018807191</v>
      </c>
      <c r="AG50" s="35">
        <f t="shared" si="18"/>
        <v>119.14921507398223</v>
      </c>
      <c r="AH50" s="62" t="s">
        <v>13</v>
      </c>
      <c r="AI50" s="62" t="s">
        <v>13</v>
      </c>
      <c r="AJ50" s="35">
        <f t="shared" si="19"/>
        <v>48.257533875237286</v>
      </c>
      <c r="AK50" s="35">
        <f t="shared" si="20"/>
        <v>120.80611261044756</v>
      </c>
      <c r="AL50" s="62" t="s">
        <v>13</v>
      </c>
      <c r="AM50" s="62" t="s">
        <v>13</v>
      </c>
      <c r="AN50" s="35">
        <f t="shared" si="21"/>
        <v>49.282251600148925</v>
      </c>
      <c r="AO50" s="35">
        <f t="shared" si="15"/>
        <v>122.79959068824921</v>
      </c>
      <c r="AP50" s="33"/>
    </row>
    <row r="51" spans="1:42">
      <c r="O51" s="8" t="str">
        <f t="shared" si="16"/>
        <v/>
      </c>
      <c r="P51" s="34" t="s">
        <v>64</v>
      </c>
      <c r="Q51" s="29">
        <v>4</v>
      </c>
      <c r="R51" s="30">
        <v>0.86736111111111114</v>
      </c>
      <c r="S51" s="30">
        <v>0.86875000000000002</v>
      </c>
      <c r="T51" s="30">
        <v>0.97291666666666676</v>
      </c>
      <c r="U51" s="30">
        <v>7.7777777777777779E-2</v>
      </c>
      <c r="V51" s="30">
        <v>7.8472222222222221E-2</v>
      </c>
      <c r="W51" s="35">
        <v>368.5</v>
      </c>
      <c r="X51" s="35">
        <v>15.132</v>
      </c>
      <c r="Y51" s="35">
        <v>-17.59</v>
      </c>
      <c r="Z51" s="35">
        <v>3.3959999999999999</v>
      </c>
      <c r="AA51" s="35">
        <f t="shared" si="22"/>
        <v>143.63</v>
      </c>
      <c r="AB51" s="35">
        <f t="shared" ref="AB51:AB82" si="25">15*($Z51+HOUR(S51)+(MINUTE(S51)/60)-$X51)+$C$13</f>
        <v>144.13000000000002</v>
      </c>
      <c r="AC51" s="35">
        <f t="shared" si="23"/>
        <v>181.63000000000002</v>
      </c>
      <c r="AD51" s="35">
        <f t="shared" ref="AD51:AD82" si="26">15*($Z51+HOUR(U51)+(MINUTE(U51)/60)-$X51)+$C$13</f>
        <v>-140.62</v>
      </c>
      <c r="AE51" s="35">
        <f t="shared" si="24"/>
        <v>-140.37</v>
      </c>
      <c r="AF51" s="35">
        <f t="shared" si="17"/>
        <v>-48.405799452843041</v>
      </c>
      <c r="AG51" s="35">
        <f t="shared" si="18"/>
        <v>301.62445607913065</v>
      </c>
      <c r="AH51" s="35">
        <f t="shared" ref="AH51:AH82" si="27">$Z$103*ASIN(SIN($Z$102*$Y51)*SIN($Z$102*$C$12)+COS($Z$102*$Y51)*COS($Z$102*AB51)*COS($Z$102*$C$12))</f>
        <v>-48.698237260185557</v>
      </c>
      <c r="AI51" s="35">
        <f t="shared" ref="AI51:AI98" si="28">IF(SIN($Z$102*AB51)&lt;0,ACOS((SIN($Z$102*$Y51)-SIN($Z$102*AH51)*SIN($Z$102*$C$12))/(COS($Z$102*AH51)*COS($Z$102*$C$12)))/$Z$102,360-ACOS((SIN($Z$102*$Y51)-SIN($Z$102*AH51)*SIN($Z$102*$C$12))/(COS($Z$102*AH51)*COS($Z$102*$C$12)))/$Z$102)</f>
        <v>302.19303453889563</v>
      </c>
      <c r="AJ51" s="35">
        <f t="shared" si="19"/>
        <v>-61.108468813932035</v>
      </c>
      <c r="AK51" s="35">
        <f t="shared" si="20"/>
        <v>3.2171878341595472</v>
      </c>
      <c r="AL51" s="35">
        <f t="shared" ref="AL51:AL82" si="29">$Z$103*ASIN(SIN($Z$102*$Y51)*SIN($Z$102*$C$12)+COS($Z$102*$Y51)*COS($Z$102*AD51)*COS($Z$102*$C$12))</f>
        <v>-46.609186353322123</v>
      </c>
      <c r="AM51" s="35">
        <f t="shared" ref="AM51:AM82" si="30">IF(SIN($Z$102*AD51)&lt;0,ACOS((SIN($Z$102*$Y51)-SIN($Z$102*AL51)*SIN($Z$102*$C$12))/(COS($Z$102*AL51)*COS($Z$102*$C$12)))/$Z$102,360-ACOS((SIN($Z$102*$Y51)-SIN($Z$102*AL51)*SIN($Z$102*$C$12))/(COS($Z$102*AL51)*COS($Z$102*$C$12)))/$Z$102)</f>
        <v>61.688235374859232</v>
      </c>
      <c r="AN51" s="35">
        <f t="shared" si="21"/>
        <v>-46.457353751631274</v>
      </c>
      <c r="AO51" s="35">
        <f t="shared" si="15"/>
        <v>61.955240762674691</v>
      </c>
    </row>
    <row r="52" spans="1:42">
      <c r="O52" s="8" t="str">
        <f t="shared" si="16"/>
        <v/>
      </c>
      <c r="P52" s="34" t="s">
        <v>65</v>
      </c>
      <c r="Q52" s="29">
        <v>2</v>
      </c>
      <c r="R52" s="30">
        <v>0.65069444444444446</v>
      </c>
      <c r="S52" s="30">
        <v>0.65347222222222223</v>
      </c>
      <c r="T52" s="30">
        <v>0.70416666666666661</v>
      </c>
      <c r="U52" s="30">
        <v>0.75486111111111109</v>
      </c>
      <c r="V52" s="30">
        <v>0.75763888888888886</v>
      </c>
      <c r="W52" s="35">
        <v>861.8</v>
      </c>
      <c r="X52" s="35">
        <v>15.308</v>
      </c>
      <c r="Y52" s="35">
        <v>-18.28</v>
      </c>
      <c r="Z52" s="35">
        <v>3.5659999999999998</v>
      </c>
      <c r="AA52" s="35">
        <f t="shared" si="22"/>
        <v>65.539999999999992</v>
      </c>
      <c r="AB52" s="35">
        <f t="shared" si="25"/>
        <v>66.539999999999992</v>
      </c>
      <c r="AC52" s="35">
        <f t="shared" si="23"/>
        <v>84.789999999999964</v>
      </c>
      <c r="AD52" s="35">
        <f t="shared" si="26"/>
        <v>103.03999999999999</v>
      </c>
      <c r="AE52" s="35">
        <f t="shared" si="24"/>
        <v>104.03999999999999</v>
      </c>
      <c r="AF52" s="35">
        <f t="shared" si="17"/>
        <v>2.4960652029769568</v>
      </c>
      <c r="AG52" s="35">
        <f t="shared" si="18"/>
        <v>239.89819428394253</v>
      </c>
      <c r="AH52" s="35">
        <f t="shared" si="27"/>
        <v>1.897787191501831</v>
      </c>
      <c r="AI52" s="35">
        <f t="shared" si="28"/>
        <v>240.63608521579812</v>
      </c>
      <c r="AJ52" s="35">
        <f t="shared" si="19"/>
        <v>-9.6672555930175346</v>
      </c>
      <c r="AK52" s="35">
        <f t="shared" si="20"/>
        <v>253.58369392716469</v>
      </c>
      <c r="AL52" s="35">
        <f t="shared" si="29"/>
        <v>-22.020919137828866</v>
      </c>
      <c r="AM52" s="35">
        <f t="shared" si="30"/>
        <v>266.23774936670202</v>
      </c>
      <c r="AN52" s="35">
        <f t="shared" si="21"/>
        <v>-22.708683258078555</v>
      </c>
      <c r="AO52" s="35">
        <f t="shared" si="15"/>
        <v>266.9456780064711</v>
      </c>
      <c r="AP52" s="33"/>
    </row>
    <row r="53" spans="1:42" s="2" customFormat="1">
      <c r="A53" s="28"/>
      <c r="B53" s="27"/>
      <c r="N53" s="90"/>
      <c r="O53" s="8" t="str">
        <f t="shared" si="16"/>
        <v/>
      </c>
      <c r="P53" s="34" t="s">
        <v>66</v>
      </c>
      <c r="Q53" s="29">
        <v>9</v>
      </c>
      <c r="R53" s="30">
        <v>0.99930555555555556</v>
      </c>
      <c r="S53" s="30">
        <v>6.2500000000000003E-3</v>
      </c>
      <c r="T53" s="30">
        <v>5.1388888888888894E-2</v>
      </c>
      <c r="U53" s="30">
        <v>9.7222222222222224E-2</v>
      </c>
      <c r="V53" s="30">
        <v>0.10416666666666667</v>
      </c>
      <c r="W53" s="35">
        <v>907.3</v>
      </c>
      <c r="X53" s="35">
        <v>2.8519999999999999</v>
      </c>
      <c r="Y53" s="35">
        <v>16.41</v>
      </c>
      <c r="Z53" s="35">
        <v>14.909000000000001</v>
      </c>
      <c r="AA53" s="35">
        <f t="shared" si="22"/>
        <v>548.02499999999998</v>
      </c>
      <c r="AB53" s="35">
        <f t="shared" si="25"/>
        <v>190.52500000000001</v>
      </c>
      <c r="AC53" s="35">
        <f t="shared" si="23"/>
        <v>206.77499999999998</v>
      </c>
      <c r="AD53" s="35">
        <f t="shared" si="26"/>
        <v>223.27499999999995</v>
      </c>
      <c r="AE53" s="35">
        <f t="shared" si="24"/>
        <v>225.77499999999998</v>
      </c>
      <c r="AF53" s="35">
        <f t="shared" si="17"/>
        <v>-26.724055890984761</v>
      </c>
      <c r="AG53" s="35">
        <f t="shared" si="18"/>
        <v>8.6230929217460535</v>
      </c>
      <c r="AH53" s="35">
        <f t="shared" si="27"/>
        <v>-26.426312588128134</v>
      </c>
      <c r="AI53" s="35">
        <f t="shared" si="28"/>
        <v>11.28384550738549</v>
      </c>
      <c r="AJ53" s="35">
        <f t="shared" si="19"/>
        <v>-22.662610534748136</v>
      </c>
      <c r="AK53" s="35">
        <f t="shared" si="20"/>
        <v>27.923639235306563</v>
      </c>
      <c r="AL53" s="35">
        <f t="shared" si="29"/>
        <v>-16.048041299798214</v>
      </c>
      <c r="AM53" s="35">
        <f t="shared" si="30"/>
        <v>43.17597412757501</v>
      </c>
      <c r="AN53" s="35">
        <f t="shared" si="21"/>
        <v>-14.84606434959341</v>
      </c>
      <c r="AO53" s="35">
        <f t="shared" si="15"/>
        <v>45.328979225638157</v>
      </c>
      <c r="AP53" s="33"/>
    </row>
    <row r="54" spans="1:42">
      <c r="O54" s="8" t="str">
        <f t="shared" si="16"/>
        <v/>
      </c>
      <c r="P54" s="34" t="s">
        <v>67</v>
      </c>
      <c r="Q54" s="29">
        <v>8</v>
      </c>
      <c r="R54" s="30">
        <v>0.6069444444444444</v>
      </c>
      <c r="S54" s="30">
        <v>0.60833333333333328</v>
      </c>
      <c r="T54" s="30">
        <v>0.70347222222222217</v>
      </c>
      <c r="U54" s="30">
        <v>0.79861111111111116</v>
      </c>
      <c r="V54" s="30">
        <v>0.8</v>
      </c>
      <c r="W54" s="35">
        <v>527.9</v>
      </c>
      <c r="X54" s="35">
        <v>14.855</v>
      </c>
      <c r="Y54" s="35">
        <v>-16.420000000000002</v>
      </c>
      <c r="Z54" s="35">
        <v>3.1259999999999999</v>
      </c>
      <c r="AA54" s="35">
        <f t="shared" si="22"/>
        <v>49.985000000000014</v>
      </c>
      <c r="AB54" s="35">
        <f t="shared" si="25"/>
        <v>50.485000000000035</v>
      </c>
      <c r="AC54" s="35">
        <f t="shared" si="23"/>
        <v>84.734999999999999</v>
      </c>
      <c r="AD54" s="35">
        <f t="shared" si="26"/>
        <v>118.98500000000003</v>
      </c>
      <c r="AE54" s="35">
        <f t="shared" si="24"/>
        <v>119.485</v>
      </c>
      <c r="AF54" s="35">
        <f t="shared" si="17"/>
        <v>12.712931899050165</v>
      </c>
      <c r="AG54" s="35">
        <f t="shared" si="18"/>
        <v>228.85984880779367</v>
      </c>
      <c r="AH54" s="35">
        <f t="shared" si="27"/>
        <v>12.452678216870993</v>
      </c>
      <c r="AI54" s="35">
        <f t="shared" si="28"/>
        <v>229.2726171475428</v>
      </c>
      <c r="AJ54" s="35">
        <f t="shared" si="19"/>
        <v>-8.2927923770208469</v>
      </c>
      <c r="AK54" s="35">
        <f t="shared" si="20"/>
        <v>254.85356725507603</v>
      </c>
      <c r="AL54" s="35">
        <f t="shared" si="29"/>
        <v>-31.676955414991369</v>
      </c>
      <c r="AM54" s="35">
        <f t="shared" si="30"/>
        <v>279.61384786678406</v>
      </c>
      <c r="AN54" s="35">
        <f t="shared" si="21"/>
        <v>-32.016408073668465</v>
      </c>
      <c r="AO54" s="35">
        <f t="shared" si="15"/>
        <v>280.01270665792975</v>
      </c>
      <c r="AP54" s="33"/>
    </row>
    <row r="55" spans="1:42">
      <c r="O55" s="8" t="str">
        <f t="shared" si="16"/>
        <v/>
      </c>
      <c r="P55" s="34" t="s">
        <v>68</v>
      </c>
      <c r="Q55" s="29">
        <v>7</v>
      </c>
      <c r="R55" s="30">
        <v>0.17986111111111111</v>
      </c>
      <c r="S55" s="30">
        <v>0.18194444444444444</v>
      </c>
      <c r="T55" s="30">
        <v>0.3444444444444445</v>
      </c>
      <c r="U55" s="30">
        <v>0.50694444444444442</v>
      </c>
      <c r="V55" s="30">
        <v>0.50902777777777775</v>
      </c>
      <c r="W55" s="35">
        <v>114.1</v>
      </c>
      <c r="X55" s="35">
        <v>3.056</v>
      </c>
      <c r="Y55" s="35">
        <v>17.28</v>
      </c>
      <c r="Z55" s="35">
        <v>15.115</v>
      </c>
      <c r="AA55" s="35">
        <f t="shared" si="22"/>
        <v>253.05500000000001</v>
      </c>
      <c r="AB55" s="35">
        <f t="shared" si="25"/>
        <v>253.80500000000001</v>
      </c>
      <c r="AC55" s="35">
        <f t="shared" si="23"/>
        <v>312.30500000000001</v>
      </c>
      <c r="AD55" s="35">
        <f t="shared" si="26"/>
        <v>370.80500000000006</v>
      </c>
      <c r="AE55" s="35">
        <f t="shared" si="24"/>
        <v>371.55500000000001</v>
      </c>
      <c r="AF55" s="35">
        <f t="shared" si="17"/>
        <v>1.3490714607696432</v>
      </c>
      <c r="AG55" s="35">
        <f t="shared" si="18"/>
        <v>66.016468796047462</v>
      </c>
      <c r="AH55" s="35">
        <f t="shared" si="27"/>
        <v>1.8221771453431064</v>
      </c>
      <c r="AI55" s="35">
        <f t="shared" si="28"/>
        <v>66.554299658431702</v>
      </c>
      <c r="AJ55" s="35">
        <f t="shared" si="19"/>
        <v>41.154992004076554</v>
      </c>
      <c r="AK55" s="35">
        <f t="shared" si="20"/>
        <v>110.2945731705488</v>
      </c>
      <c r="AL55" s="35">
        <f t="shared" si="29"/>
        <v>59.486957749789134</v>
      </c>
      <c r="AM55" s="35">
        <f t="shared" si="30"/>
        <v>200.64382624474686</v>
      </c>
      <c r="AN55" s="35">
        <f t="shared" si="21"/>
        <v>59.299057074195723</v>
      </c>
      <c r="AO55" s="35">
        <f t="shared" si="15"/>
        <v>202.00114293582925</v>
      </c>
      <c r="AP55" s="33"/>
    </row>
    <row r="56" spans="1:42">
      <c r="O56" s="8" t="str">
        <f t="shared" si="16"/>
        <v/>
      </c>
      <c r="P56" s="34" t="s">
        <v>69</v>
      </c>
      <c r="Q56" s="29">
        <v>6</v>
      </c>
      <c r="R56" s="30">
        <v>0.32430555555555557</v>
      </c>
      <c r="S56" s="30">
        <v>0.32569444444444445</v>
      </c>
      <c r="T56" s="30">
        <v>0.43888888888888888</v>
      </c>
      <c r="U56" s="30">
        <v>0.55208333333333337</v>
      </c>
      <c r="V56" s="30">
        <v>0.55347222222222225</v>
      </c>
      <c r="W56" s="35">
        <v>26.4</v>
      </c>
      <c r="X56" s="35">
        <v>15.028</v>
      </c>
      <c r="Y56" s="35">
        <v>-17.170000000000002</v>
      </c>
      <c r="Z56" s="35">
        <v>3.2959999999999998</v>
      </c>
      <c r="AA56" s="35">
        <f t="shared" si="22"/>
        <v>-51.810000000000016</v>
      </c>
      <c r="AB56" s="35">
        <f t="shared" si="25"/>
        <v>-51.310000000000016</v>
      </c>
      <c r="AC56" s="35">
        <f t="shared" si="23"/>
        <v>-10.560000000000018</v>
      </c>
      <c r="AD56" s="35">
        <f t="shared" si="26"/>
        <v>30.189999999999984</v>
      </c>
      <c r="AE56" s="35">
        <f t="shared" si="24"/>
        <v>30.690000000000012</v>
      </c>
      <c r="AF56" s="35">
        <f t="shared" si="17"/>
        <v>11.130107794321964</v>
      </c>
      <c r="AG56" s="35">
        <f t="shared" si="18"/>
        <v>130.06349700448089</v>
      </c>
      <c r="AH56" s="35">
        <f t="shared" si="27"/>
        <v>11.392970946566507</v>
      </c>
      <c r="AI56" s="35">
        <f t="shared" si="28"/>
        <v>130.47022189268904</v>
      </c>
      <c r="AJ56" s="35">
        <f t="shared" si="19"/>
        <v>25.669129583138357</v>
      </c>
      <c r="AK56" s="35">
        <f t="shared" si="20"/>
        <v>168.79792267130847</v>
      </c>
      <c r="AL56" s="35">
        <f t="shared" si="29"/>
        <v>20.795584465879667</v>
      </c>
      <c r="AM56" s="35">
        <f t="shared" si="30"/>
        <v>210.92658568253677</v>
      </c>
      <c r="AN56" s="35">
        <f t="shared" si="21"/>
        <v>20.617315053866484</v>
      </c>
      <c r="AO56" s="35">
        <f t="shared" si="15"/>
        <v>211.40040009919392</v>
      </c>
      <c r="AP56" s="33"/>
    </row>
    <row r="57" spans="1:42">
      <c r="O57" s="8" t="str">
        <f t="shared" si="16"/>
        <v/>
      </c>
      <c r="P57" s="34" t="s">
        <v>70</v>
      </c>
      <c r="Q57" s="29">
        <v>4</v>
      </c>
      <c r="R57" s="30">
        <v>7.1527777777777787E-2</v>
      </c>
      <c r="S57" s="30">
        <v>7.2916666666666671E-2</v>
      </c>
      <c r="T57" s="30">
        <v>0.17152777777777775</v>
      </c>
      <c r="U57" s="30">
        <v>0.27013888888888887</v>
      </c>
      <c r="V57" s="30">
        <v>0.27152777777777776</v>
      </c>
      <c r="W57" s="35">
        <v>470.5</v>
      </c>
      <c r="X57" s="35">
        <v>15.202999999999999</v>
      </c>
      <c r="Y57" s="35">
        <v>-17.87</v>
      </c>
      <c r="Z57" s="35">
        <v>3.4660000000000002</v>
      </c>
      <c r="AA57" s="35">
        <f t="shared" si="22"/>
        <v>-142.88500000000002</v>
      </c>
      <c r="AB57" s="35">
        <f t="shared" si="25"/>
        <v>-142.38499999999999</v>
      </c>
      <c r="AC57" s="35">
        <f t="shared" si="23"/>
        <v>-106.88499999999999</v>
      </c>
      <c r="AD57" s="35">
        <f t="shared" si="26"/>
        <v>-71.384999999999991</v>
      </c>
      <c r="AE57" s="35">
        <f t="shared" si="24"/>
        <v>-70.884999999999962</v>
      </c>
      <c r="AF57" s="35">
        <f t="shared" si="17"/>
        <v>-48.185960884379895</v>
      </c>
      <c r="AG57" s="35">
        <f t="shared" si="18"/>
        <v>59.473574457649313</v>
      </c>
      <c r="AH57" s="35">
        <f t="shared" si="27"/>
        <v>-47.888371051496556</v>
      </c>
      <c r="AI57" s="35">
        <f t="shared" si="28"/>
        <v>60.028950322096811</v>
      </c>
      <c r="AJ57" s="35">
        <f t="shared" si="19"/>
        <v>-24.384978031406881</v>
      </c>
      <c r="AK57" s="35">
        <f t="shared" si="20"/>
        <v>90.696148663292945</v>
      </c>
      <c r="AL57" s="35">
        <f t="shared" si="29"/>
        <v>-0.74964214968859655</v>
      </c>
      <c r="AM57" s="35">
        <f t="shared" si="30"/>
        <v>115.57231294558139</v>
      </c>
      <c r="AN57" s="35">
        <f t="shared" si="21"/>
        <v>-0.43936478860114803</v>
      </c>
      <c r="AO57" s="35">
        <f t="shared" si="15"/>
        <v>115.93314760582189</v>
      </c>
      <c r="AP57" s="33"/>
    </row>
    <row r="58" spans="1:42">
      <c r="O58" s="8" t="str">
        <f t="shared" si="16"/>
        <v/>
      </c>
      <c r="P58" s="34" t="s">
        <v>71</v>
      </c>
      <c r="Q58" s="29">
        <v>10</v>
      </c>
      <c r="R58" s="30">
        <v>0.12916666666666668</v>
      </c>
      <c r="S58" s="30">
        <v>0.13333333333333333</v>
      </c>
      <c r="T58" s="30">
        <v>0.16458333333333333</v>
      </c>
      <c r="U58" s="30">
        <v>0.19513888888888889</v>
      </c>
      <c r="V58" s="30">
        <v>0.19930555555555554</v>
      </c>
      <c r="W58" s="35">
        <v>926.7</v>
      </c>
      <c r="X58" s="35">
        <v>14.753</v>
      </c>
      <c r="Y58" s="35">
        <v>-15.97</v>
      </c>
      <c r="Z58" s="35">
        <v>3.0249999999999999</v>
      </c>
      <c r="AA58" s="35">
        <f t="shared" si="22"/>
        <v>-122.00000000000001</v>
      </c>
      <c r="AB58" s="35">
        <f t="shared" si="25"/>
        <v>-120.49999999999999</v>
      </c>
      <c r="AC58" s="35">
        <f t="shared" si="23"/>
        <v>-109.24999999999999</v>
      </c>
      <c r="AD58" s="35">
        <f t="shared" si="26"/>
        <v>-98.249999999999986</v>
      </c>
      <c r="AE58" s="35">
        <f t="shared" si="24"/>
        <v>-96.75</v>
      </c>
      <c r="AF58" s="35">
        <f t="shared" si="17"/>
        <v>-33.396274364445425</v>
      </c>
      <c r="AG58" s="35">
        <f t="shared" si="18"/>
        <v>77.571496002618076</v>
      </c>
      <c r="AH58" s="35">
        <f t="shared" si="27"/>
        <v>-32.38470765757836</v>
      </c>
      <c r="AI58" s="35">
        <f t="shared" si="28"/>
        <v>78.795549422097679</v>
      </c>
      <c r="AJ58" s="35">
        <f t="shared" si="19"/>
        <v>-24.695500305641016</v>
      </c>
      <c r="AK58" s="35">
        <f t="shared" si="20"/>
        <v>87.466224394571199</v>
      </c>
      <c r="AL58" s="35">
        <f t="shared" si="29"/>
        <v>-17.125088117065658</v>
      </c>
      <c r="AM58" s="35">
        <f t="shared" si="30"/>
        <v>95.378443353244208</v>
      </c>
      <c r="AN58" s="35">
        <f t="shared" si="21"/>
        <v>-16.097108214864289</v>
      </c>
      <c r="AO58" s="35">
        <f t="shared" si="15"/>
        <v>96.433907302208837</v>
      </c>
      <c r="AP58" s="33"/>
    </row>
    <row r="59" spans="1:42">
      <c r="O59" s="8" t="str">
        <f t="shared" si="16"/>
        <v/>
      </c>
      <c r="P59" s="34" t="s">
        <v>72</v>
      </c>
      <c r="Q59" s="29">
        <v>2</v>
      </c>
      <c r="R59" s="30">
        <v>0.88541666666666663</v>
      </c>
      <c r="S59" s="30">
        <v>0.89583333333333337</v>
      </c>
      <c r="T59" s="30">
        <v>0.90347222222222223</v>
      </c>
      <c r="U59" s="30">
        <v>0.91111111111111109</v>
      </c>
      <c r="V59" s="30">
        <v>0.92152777777777783</v>
      </c>
      <c r="W59" s="35">
        <v>963</v>
      </c>
      <c r="X59" s="35">
        <v>15.379</v>
      </c>
      <c r="Y59" s="35">
        <v>-18.54</v>
      </c>
      <c r="Z59" s="35">
        <v>3.6349999999999998</v>
      </c>
      <c r="AA59" s="35">
        <f t="shared" si="22"/>
        <v>150.00999999999996</v>
      </c>
      <c r="AB59" s="35">
        <f t="shared" si="25"/>
        <v>153.75999999999996</v>
      </c>
      <c r="AC59" s="35">
        <f t="shared" si="23"/>
        <v>156.50999999999996</v>
      </c>
      <c r="AD59" s="35">
        <f t="shared" si="26"/>
        <v>159.25999999999996</v>
      </c>
      <c r="AE59" s="35">
        <f t="shared" si="24"/>
        <v>163.00999999999996</v>
      </c>
      <c r="AF59" s="35">
        <f t="shared" si="17"/>
        <v>-52.771084464156523</v>
      </c>
      <c r="AG59" s="35">
        <f t="shared" si="18"/>
        <v>308.43470387372997</v>
      </c>
      <c r="AH59" s="35">
        <f t="shared" si="27"/>
        <v>-54.72290415585335</v>
      </c>
      <c r="AI59" s="35">
        <f t="shared" si="28"/>
        <v>313.46252775303907</v>
      </c>
      <c r="AJ59" s="35">
        <f t="shared" si="19"/>
        <v>-56.052594862829416</v>
      </c>
      <c r="AK59" s="35">
        <f t="shared" si="20"/>
        <v>317.41198175260536</v>
      </c>
      <c r="AL59" s="35">
        <f t="shared" si="29"/>
        <v>-57.283237367978643</v>
      </c>
      <c r="AM59" s="35">
        <f t="shared" si="30"/>
        <v>321.59631037067481</v>
      </c>
      <c r="AN59" s="35">
        <f t="shared" si="21"/>
        <v>-58.778987041888236</v>
      </c>
      <c r="AO59" s="35">
        <f t="shared" si="15"/>
        <v>327.69171343464268</v>
      </c>
      <c r="AP59" s="33"/>
    </row>
    <row r="60" spans="1:42">
      <c r="O60" s="8" t="str">
        <f t="shared" si="16"/>
        <v/>
      </c>
      <c r="P60" s="34" t="s">
        <v>73</v>
      </c>
      <c r="Q60" s="29">
        <v>9</v>
      </c>
      <c r="R60" s="30">
        <v>0.21736111111111112</v>
      </c>
      <c r="S60" s="30">
        <v>0.22013888888888888</v>
      </c>
      <c r="T60" s="30">
        <v>0.32777777777777778</v>
      </c>
      <c r="U60" s="30">
        <v>0.43541666666666662</v>
      </c>
      <c r="V60" s="30">
        <v>0.43888888888888888</v>
      </c>
      <c r="W60" s="35">
        <v>708.3</v>
      </c>
      <c r="X60" s="35">
        <v>2.9260000000000002</v>
      </c>
      <c r="Y60" s="35">
        <v>16.73</v>
      </c>
      <c r="Z60" s="35">
        <v>14.983000000000001</v>
      </c>
      <c r="AA60" s="35">
        <f t="shared" si="22"/>
        <v>266.52499999999998</v>
      </c>
      <c r="AB60" s="35">
        <f t="shared" si="25"/>
        <v>267.52500000000003</v>
      </c>
      <c r="AC60" s="35">
        <f t="shared" si="23"/>
        <v>306.27500000000003</v>
      </c>
      <c r="AD60" s="35">
        <f t="shared" si="26"/>
        <v>345.02499999999998</v>
      </c>
      <c r="AE60" s="35">
        <f t="shared" si="24"/>
        <v>346.27500000000003</v>
      </c>
      <c r="AF60" s="35">
        <f t="shared" si="17"/>
        <v>9.7088019713551219</v>
      </c>
      <c r="AG60" s="35">
        <f t="shared" si="18"/>
        <v>75.883301226549705</v>
      </c>
      <c r="AH60" s="35">
        <f t="shared" si="27"/>
        <v>10.377986506016697</v>
      </c>
      <c r="AI60" s="35">
        <f t="shared" si="28"/>
        <v>76.57904058409045</v>
      </c>
      <c r="AJ60" s="35">
        <f t="shared" si="19"/>
        <v>36.80024579264289</v>
      </c>
      <c r="AK60" s="35">
        <f t="shared" si="20"/>
        <v>105.37756010135912</v>
      </c>
      <c r="AL60" s="35">
        <f t="shared" si="29"/>
        <v>57.784611642928375</v>
      </c>
      <c r="AM60" s="35">
        <f t="shared" si="30"/>
        <v>152.34233844097002</v>
      </c>
      <c r="AN60" s="35">
        <f t="shared" si="21"/>
        <v>58.170112516283645</v>
      </c>
      <c r="AO60" s="35">
        <f t="shared" si="15"/>
        <v>154.47977191136442</v>
      </c>
      <c r="AP60" s="33"/>
    </row>
    <row r="61" spans="1:42">
      <c r="O61" s="8" t="str">
        <f t="shared" si="16"/>
        <v/>
      </c>
      <c r="P61" s="34" t="s">
        <v>74</v>
      </c>
      <c r="Q61" s="29">
        <v>8</v>
      </c>
      <c r="R61" s="30">
        <v>0.8</v>
      </c>
      <c r="S61" s="30">
        <v>0.80138888888888893</v>
      </c>
      <c r="T61" s="30">
        <v>0.90347222222222223</v>
      </c>
      <c r="U61" s="30">
        <v>5.5555555555555558E-3</v>
      </c>
      <c r="V61" s="30">
        <v>6.9444444444444441E-3</v>
      </c>
      <c r="W61" s="35">
        <v>422.9</v>
      </c>
      <c r="X61" s="35">
        <v>14.925000000000001</v>
      </c>
      <c r="Y61" s="35">
        <v>-16.73</v>
      </c>
      <c r="Z61" s="35">
        <v>3.1960000000000002</v>
      </c>
      <c r="AA61" s="35">
        <f t="shared" si="22"/>
        <v>119.485</v>
      </c>
      <c r="AB61" s="35">
        <f t="shared" si="25"/>
        <v>119.98500000000003</v>
      </c>
      <c r="AC61" s="35">
        <f t="shared" si="23"/>
        <v>156.73500000000001</v>
      </c>
      <c r="AD61" s="35">
        <f t="shared" si="26"/>
        <v>-166.51500000000001</v>
      </c>
      <c r="AE61" s="35">
        <f t="shared" si="24"/>
        <v>-166.01500000000004</v>
      </c>
      <c r="AF61" s="35">
        <f t="shared" si="17"/>
        <v>-32.235274646017281</v>
      </c>
      <c r="AG61" s="35">
        <f t="shared" si="18"/>
        <v>279.75347406409094</v>
      </c>
      <c r="AH61" s="35">
        <f t="shared" si="27"/>
        <v>-32.574582526523457</v>
      </c>
      <c r="AI61" s="35">
        <f t="shared" si="28"/>
        <v>280.1536579592896</v>
      </c>
      <c r="AJ61" s="35">
        <f t="shared" si="19"/>
        <v>-54.568264392471946</v>
      </c>
      <c r="AK61" s="35">
        <f t="shared" si="20"/>
        <v>319.27095474356912</v>
      </c>
      <c r="AL61" s="35">
        <f t="shared" si="29"/>
        <v>-58.240812379299108</v>
      </c>
      <c r="AM61" s="35">
        <f t="shared" si="30"/>
        <v>25.105143099158102</v>
      </c>
      <c r="AN61" s="35">
        <f t="shared" si="21"/>
        <v>-58.092303483462807</v>
      </c>
      <c r="AO61" s="35">
        <f t="shared" si="15"/>
        <v>25.968213841689671</v>
      </c>
      <c r="AP61" s="33"/>
    </row>
    <row r="62" spans="1:42">
      <c r="O62" s="8" t="str">
        <f t="shared" si="16"/>
        <v/>
      </c>
      <c r="P62" s="34" t="s">
        <v>75</v>
      </c>
      <c r="Q62" s="29">
        <v>7</v>
      </c>
      <c r="R62" s="30">
        <v>0.46666666666666662</v>
      </c>
      <c r="S62" s="30">
        <v>0.46875</v>
      </c>
      <c r="T62" s="30">
        <v>0.62291666666666667</v>
      </c>
      <c r="U62" s="30">
        <v>0.77708333333333324</v>
      </c>
      <c r="V62" s="30">
        <v>0.77916666666666667</v>
      </c>
      <c r="W62" s="35">
        <v>318.5</v>
      </c>
      <c r="X62" s="35">
        <v>3.13</v>
      </c>
      <c r="Y62" s="35">
        <v>17.579999999999998</v>
      </c>
      <c r="Z62" s="35">
        <v>15.19</v>
      </c>
      <c r="AA62" s="35">
        <f t="shared" si="22"/>
        <v>356.32</v>
      </c>
      <c r="AB62" s="35">
        <f t="shared" si="25"/>
        <v>357.07</v>
      </c>
      <c r="AC62" s="35">
        <f t="shared" si="23"/>
        <v>412.57</v>
      </c>
      <c r="AD62" s="35">
        <f t="shared" si="26"/>
        <v>468.07</v>
      </c>
      <c r="AE62" s="35">
        <f t="shared" si="24"/>
        <v>468.82000000000005</v>
      </c>
      <c r="AF62" s="35">
        <f t="shared" si="17"/>
        <v>60.96969611924564</v>
      </c>
      <c r="AG62" s="35">
        <f t="shared" si="18"/>
        <v>172.75648847197263</v>
      </c>
      <c r="AH62" s="35">
        <f t="shared" si="27"/>
        <v>61.028272171353613</v>
      </c>
      <c r="AI62" s="35">
        <f t="shared" si="28"/>
        <v>174.22626251639656</v>
      </c>
      <c r="AJ62" s="35">
        <f t="shared" si="19"/>
        <v>38.178359318882634</v>
      </c>
      <c r="AK62" s="35">
        <f t="shared" si="20"/>
        <v>254.36650103431055</v>
      </c>
      <c r="AL62" s="35">
        <f t="shared" si="29"/>
        <v>0.86980263967062199</v>
      </c>
      <c r="AM62" s="35">
        <f t="shared" si="30"/>
        <v>294.98988489649042</v>
      </c>
      <c r="AN62" s="35">
        <f t="shared" si="21"/>
        <v>0.40247543931290153</v>
      </c>
      <c r="AO62" s="35">
        <f t="shared" si="15"/>
        <v>295.53102024955615</v>
      </c>
      <c r="AP62" s="33"/>
    </row>
    <row r="63" spans="1:42">
      <c r="O63" s="8" t="str">
        <f t="shared" si="16"/>
        <v/>
      </c>
      <c r="P63" s="34" t="s">
        <v>76</v>
      </c>
      <c r="Q63" s="29">
        <v>6</v>
      </c>
      <c r="R63" s="30">
        <v>0.52430555555555558</v>
      </c>
      <c r="S63" s="30">
        <v>0.52569444444444446</v>
      </c>
      <c r="T63" s="30">
        <v>0.63888888888888895</v>
      </c>
      <c r="U63" s="30">
        <v>0.75138888888888899</v>
      </c>
      <c r="V63" s="30">
        <v>0.75277777777777777</v>
      </c>
      <c r="W63" s="35">
        <v>75.900000000000006</v>
      </c>
      <c r="X63" s="35">
        <v>15.098000000000001</v>
      </c>
      <c r="Y63" s="35">
        <v>-17.45</v>
      </c>
      <c r="Z63" s="35">
        <v>3.3660000000000001</v>
      </c>
      <c r="AA63" s="35">
        <f t="shared" si="22"/>
        <v>20.189999999999991</v>
      </c>
      <c r="AB63" s="35">
        <f t="shared" si="25"/>
        <v>20.689999999999991</v>
      </c>
      <c r="AC63" s="35">
        <f t="shared" si="23"/>
        <v>61.439999999999969</v>
      </c>
      <c r="AD63" s="35">
        <f t="shared" si="26"/>
        <v>101.94000000000001</v>
      </c>
      <c r="AE63" s="35">
        <f t="shared" si="24"/>
        <v>102.43999999999998</v>
      </c>
      <c r="AF63" s="35">
        <f t="shared" si="17"/>
        <v>23.550143606958027</v>
      </c>
      <c r="AG63" s="35">
        <f t="shared" si="18"/>
        <v>201.04896153438079</v>
      </c>
      <c r="AH63" s="35">
        <f t="shared" si="27"/>
        <v>23.425006247192631</v>
      </c>
      <c r="AI63" s="35">
        <f t="shared" si="28"/>
        <v>201.55082501943713</v>
      </c>
      <c r="AJ63" s="35">
        <f t="shared" si="19"/>
        <v>5.5601736282876404</v>
      </c>
      <c r="AK63" s="35">
        <f t="shared" si="20"/>
        <v>237.33672360309276</v>
      </c>
      <c r="AL63" s="35">
        <f t="shared" si="29"/>
        <v>-20.690700667961213</v>
      </c>
      <c r="AM63" s="35">
        <f t="shared" si="30"/>
        <v>266.10399775208992</v>
      </c>
      <c r="AN63" s="35">
        <f t="shared" si="21"/>
        <v>-21.034468288125101</v>
      </c>
      <c r="AO63" s="35">
        <f t="shared" si="15"/>
        <v>266.45786937752774</v>
      </c>
      <c r="AP63" s="33"/>
    </row>
    <row r="64" spans="1:42">
      <c r="O64" s="8" t="str">
        <f t="shared" si="16"/>
        <v/>
      </c>
      <c r="P64" s="34" t="s">
        <v>77</v>
      </c>
      <c r="Q64" s="29">
        <v>4</v>
      </c>
      <c r="R64" s="30">
        <v>0.27847222222222223</v>
      </c>
      <c r="S64" s="30">
        <v>0.27986111111111112</v>
      </c>
      <c r="T64" s="30">
        <v>0.37083333333333335</v>
      </c>
      <c r="U64" s="30">
        <v>0.46180555555555558</v>
      </c>
      <c r="V64" s="30">
        <v>0.46319444444444446</v>
      </c>
      <c r="W64" s="35">
        <v>572.1</v>
      </c>
      <c r="X64" s="35">
        <v>15.273999999999999</v>
      </c>
      <c r="Y64" s="35">
        <v>-18.14</v>
      </c>
      <c r="Z64" s="35">
        <v>3.5350000000000001</v>
      </c>
      <c r="AA64" s="35">
        <f t="shared" si="22"/>
        <v>-68.414999999999978</v>
      </c>
      <c r="AB64" s="35">
        <f t="shared" si="25"/>
        <v>-67.914999999999978</v>
      </c>
      <c r="AC64" s="35">
        <f t="shared" si="23"/>
        <v>-35.164999999999978</v>
      </c>
      <c r="AD64" s="35">
        <f t="shared" si="26"/>
        <v>-2.4149999999999761</v>
      </c>
      <c r="AE64" s="35">
        <f t="shared" si="24"/>
        <v>-1.9149999999999778</v>
      </c>
      <c r="AF64" s="35">
        <f t="shared" si="17"/>
        <v>0.87190023318920062</v>
      </c>
      <c r="AG64" s="35">
        <f t="shared" si="18"/>
        <v>117.90078985146128</v>
      </c>
      <c r="AH64" s="35">
        <f t="shared" si="27"/>
        <v>1.1758339481754603</v>
      </c>
      <c r="AI64" s="35">
        <f t="shared" si="28"/>
        <v>118.26607595437255</v>
      </c>
      <c r="AJ64" s="35">
        <f t="shared" si="19"/>
        <v>18.035127156917369</v>
      </c>
      <c r="AK64" s="35">
        <f t="shared" si="20"/>
        <v>144.85912040320898</v>
      </c>
      <c r="AL64" s="35">
        <f t="shared" si="29"/>
        <v>25.373118436611172</v>
      </c>
      <c r="AM64" s="35">
        <f t="shared" si="30"/>
        <v>177.4599327085385</v>
      </c>
      <c r="AN64" s="35">
        <f t="shared" si="21"/>
        <v>25.38680677716517</v>
      </c>
      <c r="AO64" s="35">
        <f t="shared" si="15"/>
        <v>177.98562170794139</v>
      </c>
      <c r="AP64" s="33"/>
    </row>
    <row r="65" spans="15:42">
      <c r="O65" s="8" t="str">
        <f t="shared" si="16"/>
        <v/>
      </c>
      <c r="P65" s="34" t="s">
        <v>78</v>
      </c>
      <c r="Q65" s="29">
        <v>10</v>
      </c>
      <c r="R65" s="30">
        <v>0.30416666666666664</v>
      </c>
      <c r="S65" s="30">
        <v>0.30625000000000002</v>
      </c>
      <c r="T65" s="30">
        <v>0.36527777777777781</v>
      </c>
      <c r="U65" s="30">
        <v>0.42499999999999999</v>
      </c>
      <c r="V65" s="30">
        <v>0.42708333333333331</v>
      </c>
      <c r="W65" s="35">
        <v>822.3</v>
      </c>
      <c r="X65" s="35">
        <v>14.821999999999999</v>
      </c>
      <c r="Y65" s="35">
        <v>-16.27</v>
      </c>
      <c r="Z65" s="35">
        <v>3.0950000000000002</v>
      </c>
      <c r="AA65" s="35">
        <f t="shared" si="22"/>
        <v>-58.984999999999971</v>
      </c>
      <c r="AB65" s="35">
        <f t="shared" si="25"/>
        <v>-58.234999999999985</v>
      </c>
      <c r="AC65" s="35">
        <f t="shared" si="23"/>
        <v>-36.984999999999964</v>
      </c>
      <c r="AD65" s="35">
        <f t="shared" si="26"/>
        <v>-15.484999999999987</v>
      </c>
      <c r="AE65" s="35">
        <f t="shared" si="24"/>
        <v>-14.73499999999998</v>
      </c>
      <c r="AF65" s="35">
        <f t="shared" si="17"/>
        <v>7.9168846325583546</v>
      </c>
      <c r="AG65" s="35">
        <f t="shared" si="18"/>
        <v>123.83681289916642</v>
      </c>
      <c r="AH65" s="35">
        <f t="shared" si="27"/>
        <v>8.3446279899878775</v>
      </c>
      <c r="AI65" s="35">
        <f t="shared" si="28"/>
        <v>124.42181781118711</v>
      </c>
      <c r="AJ65" s="35">
        <f t="shared" si="19"/>
        <v>18.981454634343951</v>
      </c>
      <c r="AK65" s="35">
        <f t="shared" si="20"/>
        <v>142.35830752013737</v>
      </c>
      <c r="AL65" s="35">
        <f t="shared" si="29"/>
        <v>25.74272954807201</v>
      </c>
      <c r="AM65" s="35">
        <f t="shared" si="30"/>
        <v>163.46907711902713</v>
      </c>
      <c r="AN65" s="35">
        <f t="shared" si="21"/>
        <v>25.886368481079991</v>
      </c>
      <c r="AO65" s="35">
        <f t="shared" si="15"/>
        <v>164.2527746340289</v>
      </c>
      <c r="AP65" s="33"/>
    </row>
    <row r="66" spans="15:42">
      <c r="O66" s="8" t="str">
        <f t="shared" si="16"/>
        <v/>
      </c>
      <c r="P66" s="34" t="s">
        <v>79</v>
      </c>
      <c r="Q66" s="29">
        <v>9</v>
      </c>
      <c r="R66" s="30">
        <v>0.4604166666666667</v>
      </c>
      <c r="S66" s="30">
        <v>0.46319444444444446</v>
      </c>
      <c r="T66" s="30">
        <v>0.6</v>
      </c>
      <c r="U66" s="30">
        <v>0.7368055555555556</v>
      </c>
      <c r="V66" s="30">
        <v>0.73888888888888893</v>
      </c>
      <c r="W66" s="35">
        <v>511.8</v>
      </c>
      <c r="X66" s="35">
        <v>3</v>
      </c>
      <c r="Y66" s="35">
        <v>17.04</v>
      </c>
      <c r="Z66" s="35">
        <v>15.058</v>
      </c>
      <c r="AA66" s="35">
        <f t="shared" si="22"/>
        <v>354.04</v>
      </c>
      <c r="AB66" s="35">
        <f t="shared" si="25"/>
        <v>355.04</v>
      </c>
      <c r="AC66" s="35">
        <f t="shared" si="23"/>
        <v>404.29</v>
      </c>
      <c r="AD66" s="35">
        <f t="shared" si="26"/>
        <v>453.53999999999996</v>
      </c>
      <c r="AE66" s="35">
        <f t="shared" si="24"/>
        <v>454.29</v>
      </c>
      <c r="AF66" s="35">
        <f t="shared" si="17"/>
        <v>60.177171999661816</v>
      </c>
      <c r="AG66" s="35">
        <f t="shared" si="18"/>
        <v>168.48515513500513</v>
      </c>
      <c r="AH66" s="35">
        <f t="shared" si="27"/>
        <v>60.303448379120603</v>
      </c>
      <c r="AI66" s="35">
        <f t="shared" si="28"/>
        <v>170.39456038095761</v>
      </c>
      <c r="AJ66" s="35">
        <f t="shared" si="19"/>
        <v>43.15100836308163</v>
      </c>
      <c r="AK66" s="35">
        <f t="shared" si="20"/>
        <v>246.22404553822275</v>
      </c>
      <c r="AL66" s="35">
        <f t="shared" si="29"/>
        <v>9.8874232199917884</v>
      </c>
      <c r="AM66" s="35">
        <f t="shared" si="30"/>
        <v>284.3814495604081</v>
      </c>
      <c r="AN66" s="35">
        <f t="shared" si="21"/>
        <v>9.3874663166071795</v>
      </c>
      <c r="AO66" s="35">
        <f t="shared" si="15"/>
        <v>284.90285229798008</v>
      </c>
      <c r="AP66" s="33"/>
    </row>
    <row r="67" spans="15:42">
      <c r="O67" s="8" t="str">
        <f t="shared" si="16"/>
        <v/>
      </c>
      <c r="P67" s="34" t="s">
        <v>80</v>
      </c>
      <c r="Q67" s="29">
        <v>8</v>
      </c>
      <c r="R67" s="30">
        <v>0.99513888888888891</v>
      </c>
      <c r="S67" s="30">
        <v>0.99652777777777779</v>
      </c>
      <c r="T67" s="30">
        <v>0.10347222222222223</v>
      </c>
      <c r="U67" s="30">
        <v>0.21111111111111111</v>
      </c>
      <c r="V67" s="30">
        <v>0.21249999999999999</v>
      </c>
      <c r="W67" s="35">
        <v>318.7</v>
      </c>
      <c r="X67" s="35">
        <v>14.996</v>
      </c>
      <c r="Y67" s="35">
        <v>-17.02</v>
      </c>
      <c r="Z67" s="35">
        <v>3.2650000000000001</v>
      </c>
      <c r="AA67" s="35">
        <f t="shared" si="22"/>
        <v>189.70499999999998</v>
      </c>
      <c r="AB67" s="35">
        <f t="shared" si="25"/>
        <v>190.20500000000001</v>
      </c>
      <c r="AC67" s="35">
        <f t="shared" si="23"/>
        <v>-131.29500000000002</v>
      </c>
      <c r="AD67" s="35">
        <f t="shared" si="26"/>
        <v>-92.545000000000002</v>
      </c>
      <c r="AE67" s="35">
        <f t="shared" si="24"/>
        <v>-92.045000000000002</v>
      </c>
      <c r="AF67" s="35">
        <f t="shared" si="17"/>
        <v>-59.488609835652547</v>
      </c>
      <c r="AG67" s="35">
        <f t="shared" si="18"/>
        <v>18.511139719079644</v>
      </c>
      <c r="AH67" s="35">
        <f t="shared" si="27"/>
        <v>-59.376633446390422</v>
      </c>
      <c r="AI67" s="35">
        <f t="shared" si="28"/>
        <v>19.425123458409633</v>
      </c>
      <c r="AJ67" s="35">
        <f t="shared" si="19"/>
        <v>-40.309682265684444</v>
      </c>
      <c r="AK67" s="35">
        <f t="shared" si="20"/>
        <v>70.409277690021611</v>
      </c>
      <c r="AL67" s="35">
        <f t="shared" si="29"/>
        <v>-13.969127556386619</v>
      </c>
      <c r="AM67" s="35">
        <f t="shared" si="30"/>
        <v>100.14297992563979</v>
      </c>
      <c r="AN67" s="35">
        <f t="shared" si="21"/>
        <v>-13.630203784008842</v>
      </c>
      <c r="AO67" s="35">
        <f t="shared" si="15"/>
        <v>100.49021447410279</v>
      </c>
      <c r="AP67" s="33"/>
    </row>
    <row r="68" spans="15:42">
      <c r="O68" s="8" t="str">
        <f t="shared" si="16"/>
        <v/>
      </c>
      <c r="P68" s="34" t="s">
        <v>81</v>
      </c>
      <c r="Q68" s="29">
        <v>7</v>
      </c>
      <c r="R68" s="30">
        <v>0.76111111111111107</v>
      </c>
      <c r="S68" s="30">
        <v>0.76388888888888884</v>
      </c>
      <c r="T68" s="30">
        <v>0.90069444444444446</v>
      </c>
      <c r="U68" s="30">
        <v>3.6805555555555557E-2</v>
      </c>
      <c r="V68" s="30">
        <v>3.9583333333333331E-2</v>
      </c>
      <c r="W68" s="35">
        <v>520.5</v>
      </c>
      <c r="X68" s="35">
        <v>3.206</v>
      </c>
      <c r="Y68" s="35">
        <v>17.88</v>
      </c>
      <c r="Z68" s="35">
        <v>15.265000000000001</v>
      </c>
      <c r="AA68" s="35">
        <f t="shared" si="22"/>
        <v>462.30500000000001</v>
      </c>
      <c r="AB68" s="35">
        <f t="shared" si="25"/>
        <v>463.30500000000006</v>
      </c>
      <c r="AC68" s="35">
        <f t="shared" si="23"/>
        <v>512.55499999999995</v>
      </c>
      <c r="AD68" s="35">
        <f t="shared" si="26"/>
        <v>201.55500000000001</v>
      </c>
      <c r="AE68" s="35">
        <f t="shared" si="24"/>
        <v>202.55499999999998</v>
      </c>
      <c r="AF68" s="35">
        <f t="shared" si="17"/>
        <v>4.7484356865834929</v>
      </c>
      <c r="AG68" s="35">
        <f t="shared" si="18"/>
        <v>291.08614032328569</v>
      </c>
      <c r="AH68" s="35">
        <f t="shared" si="27"/>
        <v>4.1071235743514292</v>
      </c>
      <c r="AI68" s="35">
        <f t="shared" si="28"/>
        <v>291.79142228505754</v>
      </c>
      <c r="AJ68" s="35">
        <f t="shared" si="19"/>
        <v>-21.062703486624354</v>
      </c>
      <c r="AK68" s="35">
        <f t="shared" si="20"/>
        <v>331.96304940155625</v>
      </c>
      <c r="AL68" s="35">
        <f t="shared" si="29"/>
        <v>-22.788486423708786</v>
      </c>
      <c r="AM68" s="35">
        <f t="shared" si="30"/>
        <v>22.287470710531192</v>
      </c>
      <c r="AN68" s="35">
        <f t="shared" si="21"/>
        <v>-22.521686189656368</v>
      </c>
      <c r="AO68" s="35">
        <f t="shared" si="15"/>
        <v>23.277393683181796</v>
      </c>
      <c r="AP68" s="33"/>
    </row>
    <row r="69" spans="15:42">
      <c r="O69" s="8" t="str">
        <f t="shared" si="16"/>
        <v/>
      </c>
      <c r="P69" s="34" t="s">
        <v>82</v>
      </c>
      <c r="Q69" s="29">
        <v>6</v>
      </c>
      <c r="R69" s="30">
        <v>0.72499999999999998</v>
      </c>
      <c r="S69" s="30">
        <v>0.72638888888888886</v>
      </c>
      <c r="T69" s="30">
        <v>0.83750000000000002</v>
      </c>
      <c r="U69" s="30">
        <v>0.94861111111111107</v>
      </c>
      <c r="V69" s="30">
        <v>0.95</v>
      </c>
      <c r="W69" s="35">
        <v>180.7</v>
      </c>
      <c r="X69" s="35">
        <v>15.17</v>
      </c>
      <c r="Y69" s="35">
        <v>-17.73</v>
      </c>
      <c r="Z69" s="35">
        <v>3.4350000000000001</v>
      </c>
      <c r="AA69" s="35">
        <f t="shared" si="22"/>
        <v>92.394999999999968</v>
      </c>
      <c r="AB69" s="35">
        <f t="shared" si="25"/>
        <v>92.894999999999982</v>
      </c>
      <c r="AC69" s="35">
        <f t="shared" si="23"/>
        <v>132.89500000000001</v>
      </c>
      <c r="AD69" s="35">
        <f t="shared" si="26"/>
        <v>172.89499999999995</v>
      </c>
      <c r="AE69" s="35">
        <f t="shared" si="24"/>
        <v>173.39499999999998</v>
      </c>
      <c r="AF69" s="35">
        <f t="shared" si="17"/>
        <v>-14.367518327575677</v>
      </c>
      <c r="AG69" s="35">
        <f t="shared" si="18"/>
        <v>259.23316273330829</v>
      </c>
      <c r="AH69" s="35">
        <f t="shared" si="27"/>
        <v>-14.706139592933175</v>
      </c>
      <c r="AI69" s="35">
        <f t="shared" si="28"/>
        <v>259.57912783596174</v>
      </c>
      <c r="AJ69" s="35">
        <f t="shared" si="19"/>
        <v>-41.867157063350518</v>
      </c>
      <c r="AK69" s="35">
        <f t="shared" si="20"/>
        <v>290.44040373105616</v>
      </c>
      <c r="AL69" s="35">
        <f t="shared" si="29"/>
        <v>-60.684768286417373</v>
      </c>
      <c r="AM69" s="35">
        <f t="shared" si="30"/>
        <v>346.07660200551209</v>
      </c>
      <c r="AN69" s="35">
        <f t="shared" si="21"/>
        <v>-60.764858790838645</v>
      </c>
      <c r="AO69" s="35">
        <f t="shared" si="15"/>
        <v>347.03665992337449</v>
      </c>
      <c r="AP69" s="33"/>
    </row>
    <row r="70" spans="15:42">
      <c r="O70" s="8" t="str">
        <f t="shared" ref="O70:O99" si="31">IF(P70=$C$6,"*","")</f>
        <v/>
      </c>
      <c r="P70" s="34" t="s">
        <v>83</v>
      </c>
      <c r="Q70" s="29">
        <v>4</v>
      </c>
      <c r="R70" s="30">
        <v>0.48749999999999999</v>
      </c>
      <c r="S70" s="30">
        <v>0.48888888888888887</v>
      </c>
      <c r="T70" s="30">
        <v>0.57013888888888886</v>
      </c>
      <c r="U70" s="30">
        <v>0.65069444444444446</v>
      </c>
      <c r="V70" s="30">
        <v>0.65208333333333335</v>
      </c>
      <c r="W70" s="35">
        <v>674.3</v>
      </c>
      <c r="X70" s="35">
        <v>15.345000000000001</v>
      </c>
      <c r="Y70" s="35">
        <v>-18.41</v>
      </c>
      <c r="Z70" s="35">
        <v>3.605</v>
      </c>
      <c r="AA70" s="35">
        <f t="shared" si="22"/>
        <v>6.8199999999999861</v>
      </c>
      <c r="AB70" s="35">
        <f t="shared" si="25"/>
        <v>7.3199999999999843</v>
      </c>
      <c r="AC70" s="35">
        <f t="shared" si="23"/>
        <v>36.57</v>
      </c>
      <c r="AD70" s="35">
        <f t="shared" si="26"/>
        <v>65.570000000000007</v>
      </c>
      <c r="AE70" s="35">
        <f t="shared" si="24"/>
        <v>66.069999999999979</v>
      </c>
      <c r="AF70" s="35">
        <f t="shared" ref="AF70:AF99" si="32">$Z$103*ASIN(SIN($Z$102*$Y70)*SIN($Z$102*$C$12)+COS($Z$102*$Y70)*COS($Z$102*AA70)*COS($Z$102*$C$12))</f>
        <v>24.847583697169043</v>
      </c>
      <c r="AG70" s="35">
        <f t="shared" ref="AG70:AG99" si="33">IF(SIN($Z$102*AA70)&lt;0,ACOS((SIN($Z$102*$Y70)-SIN($Z$102*AF70)*SIN($Z$102*$C$12))/(COS($Z$102*AF70)*COS($Z$102*$C$12)))/$Z$102,360-ACOS((SIN($Z$102*$Y70)-SIN($Z$102*AF70)*SIN($Z$102*$C$12))/(COS($Z$102*AF70)*COS($Z$102*$C$12)))/$Z$102)</f>
        <v>187.13267344407242</v>
      </c>
      <c r="AH70" s="35">
        <f t="shared" si="27"/>
        <v>24.803256742087264</v>
      </c>
      <c r="AI70" s="35">
        <f t="shared" si="28"/>
        <v>187.65310065426672</v>
      </c>
      <c r="AJ70" s="35">
        <f t="shared" ref="AJ70:AJ99" si="34">$Z$103*ASIN(SIN($Z$102*$Y70)*SIN($Z$102*$C$12)+COS($Z$102*$Y70)*COS($Z$102*AC70)*COS($Z$102*$C$12))</f>
        <v>17.225446014200774</v>
      </c>
      <c r="AK70" s="35">
        <f t="shared" ref="AK70:AK99" si="35">IF(SIN($Z$102*AC70)&lt;0,ACOS((SIN($Z$102*$Y70)-SIN($Z$102*AJ70)*SIN($Z$102*$C$12))/(COS($Z$102*AJ70)*COS($Z$102*$C$12)))/$Z$102,360-ACOS((SIN($Z$102*$Y70)-SIN($Z$102*AJ70)*SIN($Z$102*$C$12))/(COS($Z$102*AJ70)*COS($Z$102*$C$12)))/$Z$102)</f>
        <v>216.28899476147694</v>
      </c>
      <c r="AL70" s="35">
        <f t="shared" si="29"/>
        <v>2.3769991665675545</v>
      </c>
      <c r="AM70" s="35">
        <f t="shared" si="30"/>
        <v>239.83869197597488</v>
      </c>
      <c r="AN70" s="35">
        <f t="shared" ref="AN70:AN99" si="36">$Z$103*ASIN(SIN($Z$102*$Y70)*SIN($Z$102*$C$12)+COS($Z$102*$Y70)*COS($Z$102*AE70)*COS($Z$102*$C$12))</f>
        <v>2.0785893542160503</v>
      </c>
      <c r="AO70" s="35">
        <f t="shared" si="15"/>
        <v>240.20777580374005</v>
      </c>
      <c r="AP70" s="33"/>
    </row>
    <row r="71" spans="15:42">
      <c r="O71" s="8" t="str">
        <f t="shared" si="31"/>
        <v/>
      </c>
      <c r="P71" s="34" t="s">
        <v>84</v>
      </c>
      <c r="Q71" s="29">
        <v>10</v>
      </c>
      <c r="R71" s="30">
        <v>0.48749999999999999</v>
      </c>
      <c r="S71" s="30">
        <v>0.48958333333333331</v>
      </c>
      <c r="T71" s="30">
        <v>0.56527777777777777</v>
      </c>
      <c r="U71" s="30">
        <v>0.64166666666666672</v>
      </c>
      <c r="V71" s="30">
        <v>0.6430555555555556</v>
      </c>
      <c r="W71" s="35">
        <v>718.5</v>
      </c>
      <c r="X71" s="35">
        <v>14.893000000000001</v>
      </c>
      <c r="Y71" s="35">
        <v>-16.579999999999998</v>
      </c>
      <c r="Z71" s="35">
        <v>3.165</v>
      </c>
      <c r="AA71" s="35">
        <f t="shared" si="22"/>
        <v>6.9999999999999662</v>
      </c>
      <c r="AB71" s="35">
        <f t="shared" si="25"/>
        <v>7.7499999999999769</v>
      </c>
      <c r="AC71" s="35">
        <f t="shared" si="23"/>
        <v>34.999999999999972</v>
      </c>
      <c r="AD71" s="35">
        <f t="shared" si="26"/>
        <v>62.499999999999957</v>
      </c>
      <c r="AE71" s="35">
        <f t="shared" si="24"/>
        <v>62.999999999999986</v>
      </c>
      <c r="AF71" s="35">
        <f t="shared" si="32"/>
        <v>26.654013992005712</v>
      </c>
      <c r="AG71" s="35">
        <f t="shared" si="33"/>
        <v>187.50949824859944</v>
      </c>
      <c r="AH71" s="35">
        <f t="shared" si="27"/>
        <v>26.582905178156498</v>
      </c>
      <c r="AI71" s="35">
        <f t="shared" si="28"/>
        <v>188.30959187354</v>
      </c>
      <c r="AJ71" s="35">
        <f t="shared" si="34"/>
        <v>19.517978510264271</v>
      </c>
      <c r="AK71" s="35">
        <f t="shared" si="35"/>
        <v>215.6789986551579</v>
      </c>
      <c r="AL71" s="35">
        <f t="shared" si="29"/>
        <v>5.6294579336071608</v>
      </c>
      <c r="AM71" s="35">
        <f t="shared" si="30"/>
        <v>238.67707335856841</v>
      </c>
      <c r="AN71" s="35">
        <f t="shared" si="36"/>
        <v>5.3345827154580672</v>
      </c>
      <c r="AO71" s="35">
        <f t="shared" ref="AO71:AO99" si="37">IF(SIN($Z$102*AE71)&lt;0,ACOS((SIN($Z$102*$Y71)-SIN($Z$102*AN71)*SIN($Z$102*$C$12))/(COS($Z$102*AN71)*COS($Z$102*$C$12)))/$Z$102,360-ACOS((SIN($Z$102*$Y71)-SIN($Z$102*AN71)*SIN($Z$102*$C$12))/(COS($Z$102*AN71)*COS($Z$102*$C$12)))/$Z$102)</f>
        <v>239.05655511833498</v>
      </c>
      <c r="AP71" s="33"/>
    </row>
    <row r="72" spans="15:42">
      <c r="O72" s="8" t="str">
        <f t="shared" si="31"/>
        <v/>
      </c>
      <c r="P72" s="34" t="s">
        <v>85</v>
      </c>
      <c r="Q72" s="29">
        <v>9</v>
      </c>
      <c r="R72" s="30">
        <v>0.72222222222222221</v>
      </c>
      <c r="S72" s="30">
        <v>0.72499999999999998</v>
      </c>
      <c r="T72" s="30">
        <v>0.87847222222222221</v>
      </c>
      <c r="U72" s="30">
        <v>3.2638888888888891E-2</v>
      </c>
      <c r="V72" s="30">
        <v>3.4722222222222224E-2</v>
      </c>
      <c r="W72" s="35">
        <v>309.8</v>
      </c>
      <c r="X72" s="35">
        <v>3.0750000000000002</v>
      </c>
      <c r="Y72" s="35">
        <v>17.350000000000001</v>
      </c>
      <c r="Z72" s="35">
        <v>15.132999999999999</v>
      </c>
      <c r="AA72" s="35">
        <f t="shared" si="22"/>
        <v>448.29</v>
      </c>
      <c r="AB72" s="35">
        <f t="shared" si="25"/>
        <v>449.28999999999996</v>
      </c>
      <c r="AC72" s="35">
        <f t="shared" si="23"/>
        <v>504.53999999999996</v>
      </c>
      <c r="AD72" s="35">
        <f t="shared" si="26"/>
        <v>200.03999999999996</v>
      </c>
      <c r="AE72" s="35">
        <f t="shared" si="24"/>
        <v>200.78999999999996</v>
      </c>
      <c r="AF72" s="35">
        <f t="shared" si="32"/>
        <v>13.636284555183966</v>
      </c>
      <c r="AG72" s="35">
        <f t="shared" si="33"/>
        <v>280.9632052523524</v>
      </c>
      <c r="AH72" s="35">
        <f t="shared" si="27"/>
        <v>12.960680348176583</v>
      </c>
      <c r="AI72" s="35">
        <f t="shared" si="28"/>
        <v>281.6560504574428</v>
      </c>
      <c r="AJ72" s="35">
        <f t="shared" si="34"/>
        <v>-18.63434900609251</v>
      </c>
      <c r="AK72" s="35">
        <f t="shared" si="35"/>
        <v>324.24125898795955</v>
      </c>
      <c r="AL72" s="35">
        <f t="shared" si="29"/>
        <v>-23.683757733267541</v>
      </c>
      <c r="AM72" s="35">
        <f t="shared" si="30"/>
        <v>20.926279850635829</v>
      </c>
      <c r="AN72" s="35">
        <f t="shared" si="36"/>
        <v>-23.496023611591461</v>
      </c>
      <c r="AO72" s="35">
        <f t="shared" si="37"/>
        <v>21.680095713318437</v>
      </c>
      <c r="AP72" s="33"/>
    </row>
    <row r="73" spans="15:42">
      <c r="O73" s="8" t="str">
        <f t="shared" si="31"/>
        <v/>
      </c>
      <c r="P73" s="34" t="s">
        <v>86</v>
      </c>
      <c r="Q73" s="29">
        <v>8</v>
      </c>
      <c r="R73" s="30">
        <v>0.19097222222222221</v>
      </c>
      <c r="S73" s="30">
        <v>0.19236111111111112</v>
      </c>
      <c r="T73" s="30">
        <v>0.30277777777777776</v>
      </c>
      <c r="U73" s="30">
        <v>0.41388888888888892</v>
      </c>
      <c r="V73" s="30">
        <v>0.4145833333333333</v>
      </c>
      <c r="W73" s="35">
        <v>214.7</v>
      </c>
      <c r="X73" s="35">
        <v>15.066000000000001</v>
      </c>
      <c r="Y73" s="35">
        <v>-17.309999999999999</v>
      </c>
      <c r="Z73" s="35">
        <v>3.335</v>
      </c>
      <c r="AA73" s="35">
        <f t="shared" si="22"/>
        <v>-99.795000000000016</v>
      </c>
      <c r="AB73" s="35">
        <f t="shared" si="25"/>
        <v>-99.295000000000016</v>
      </c>
      <c r="AC73" s="35">
        <f t="shared" si="23"/>
        <v>-59.544999999999987</v>
      </c>
      <c r="AD73" s="35">
        <f t="shared" si="26"/>
        <v>-19.544999999999995</v>
      </c>
      <c r="AE73" s="35">
        <f t="shared" si="24"/>
        <v>-19.295000000000009</v>
      </c>
      <c r="AF73" s="35">
        <f t="shared" si="32"/>
        <v>-19.120404615521331</v>
      </c>
      <c r="AG73" s="35">
        <f t="shared" si="33"/>
        <v>95.30067349960207</v>
      </c>
      <c r="AH73" s="35">
        <f t="shared" si="27"/>
        <v>-18.777483823280441</v>
      </c>
      <c r="AI73" s="35">
        <f t="shared" si="28"/>
        <v>95.651773932387542</v>
      </c>
      <c r="AJ73" s="35">
        <f t="shared" si="34"/>
        <v>6.7625176469499442</v>
      </c>
      <c r="AK73" s="35">
        <f t="shared" si="35"/>
        <v>124.02933607957418</v>
      </c>
      <c r="AL73" s="35">
        <f t="shared" si="29"/>
        <v>23.842889860056278</v>
      </c>
      <c r="AM73" s="35">
        <f t="shared" si="30"/>
        <v>159.56182567533014</v>
      </c>
      <c r="AN73" s="35">
        <f t="shared" si="36"/>
        <v>23.90268181239437</v>
      </c>
      <c r="AO73" s="35">
        <f t="shared" si="37"/>
        <v>159.81451034043008</v>
      </c>
      <c r="AP73" s="33"/>
    </row>
    <row r="74" spans="15:42">
      <c r="O74" s="8" t="str">
        <f t="shared" si="31"/>
        <v/>
      </c>
      <c r="P74" s="34" t="s">
        <v>87</v>
      </c>
      <c r="Q74" s="29">
        <v>7</v>
      </c>
      <c r="R74" s="30">
        <v>0.17777777777777778</v>
      </c>
      <c r="S74" s="30">
        <v>0.17777777777777778</v>
      </c>
      <c r="T74" s="30">
        <v>0.17777777777777778</v>
      </c>
      <c r="U74" s="30">
        <v>0.17777777777777778</v>
      </c>
      <c r="V74" s="30">
        <v>0.17777777777777778</v>
      </c>
      <c r="W74" s="35">
        <v>724.7</v>
      </c>
      <c r="X74" s="35">
        <v>3.2810000000000001</v>
      </c>
      <c r="Y74" s="35">
        <v>18.16</v>
      </c>
      <c r="Z74" s="35">
        <v>15.34</v>
      </c>
      <c r="AA74" s="35">
        <f t="shared" si="22"/>
        <v>252.30499999999998</v>
      </c>
      <c r="AB74" s="35">
        <f t="shared" si="25"/>
        <v>252.30499999999998</v>
      </c>
      <c r="AC74" s="35">
        <f t="shared" si="23"/>
        <v>252.30499999999998</v>
      </c>
      <c r="AD74" s="35">
        <f t="shared" si="26"/>
        <v>252.30499999999998</v>
      </c>
      <c r="AE74" s="35">
        <f t="shared" si="24"/>
        <v>252.30499999999998</v>
      </c>
      <c r="AF74" s="35">
        <f t="shared" si="32"/>
        <v>1.5417166648209022</v>
      </c>
      <c r="AG74" s="35">
        <f t="shared" si="33"/>
        <v>64.899123510083925</v>
      </c>
      <c r="AH74" s="35">
        <f t="shared" si="27"/>
        <v>1.5417166648209022</v>
      </c>
      <c r="AI74" s="35">
        <f t="shared" si="28"/>
        <v>64.899123510083925</v>
      </c>
      <c r="AJ74" s="35">
        <f t="shared" si="34"/>
        <v>1.5417166648209022</v>
      </c>
      <c r="AK74" s="35">
        <f t="shared" si="35"/>
        <v>64.899123510083925</v>
      </c>
      <c r="AL74" s="35">
        <f t="shared" si="29"/>
        <v>1.5417166648209022</v>
      </c>
      <c r="AM74" s="35">
        <f t="shared" si="30"/>
        <v>64.899123510083925</v>
      </c>
      <c r="AN74" s="35">
        <f t="shared" si="36"/>
        <v>1.5417166648209022</v>
      </c>
      <c r="AO74" s="35">
        <f t="shared" si="37"/>
        <v>64.899123510083925</v>
      </c>
      <c r="AP74" s="33"/>
    </row>
    <row r="75" spans="15:42">
      <c r="O75" s="8" t="str">
        <f t="shared" si="31"/>
        <v/>
      </c>
      <c r="P75" s="34" t="s">
        <v>88</v>
      </c>
      <c r="Q75" s="29">
        <v>6</v>
      </c>
      <c r="R75" s="30">
        <v>0.92708333333333337</v>
      </c>
      <c r="S75" s="30">
        <v>0.92847222222222225</v>
      </c>
      <c r="T75" s="30">
        <v>3.6805555555555557E-2</v>
      </c>
      <c r="U75" s="30">
        <v>0.1451388888888889</v>
      </c>
      <c r="V75" s="30">
        <v>0.14583333333333334</v>
      </c>
      <c r="W75" s="35">
        <v>283.3</v>
      </c>
      <c r="X75" s="35">
        <v>15.241</v>
      </c>
      <c r="Y75" s="35">
        <v>-18.010000000000002</v>
      </c>
      <c r="Z75" s="35">
        <v>3.5049999999999999</v>
      </c>
      <c r="AA75" s="35">
        <f t="shared" si="22"/>
        <v>165.12999999999997</v>
      </c>
      <c r="AB75" s="35">
        <f t="shared" si="25"/>
        <v>165.63</v>
      </c>
      <c r="AC75" s="35">
        <f t="shared" si="23"/>
        <v>-155.37</v>
      </c>
      <c r="AD75" s="35">
        <f t="shared" si="26"/>
        <v>-116.36999999999999</v>
      </c>
      <c r="AE75" s="35">
        <f t="shared" si="24"/>
        <v>-116.12</v>
      </c>
      <c r="AF75" s="35">
        <f t="shared" si="32"/>
        <v>-59.022899844748828</v>
      </c>
      <c r="AG75" s="35">
        <f t="shared" si="33"/>
        <v>331.69473131207758</v>
      </c>
      <c r="AH75" s="35">
        <f t="shared" si="27"/>
        <v>-59.183938929823576</v>
      </c>
      <c r="AI75" s="35">
        <f t="shared" si="28"/>
        <v>332.5660347878258</v>
      </c>
      <c r="AJ75" s="35">
        <f t="shared" si="34"/>
        <v>-55.055004412296611</v>
      </c>
      <c r="AK75" s="35">
        <f t="shared" si="35"/>
        <v>43.783961750279182</v>
      </c>
      <c r="AL75" s="35">
        <f t="shared" si="29"/>
        <v>-31.005342300394112</v>
      </c>
      <c r="AM75" s="35">
        <f t="shared" si="30"/>
        <v>83.762676132295525</v>
      </c>
      <c r="AN75" s="35">
        <f t="shared" si="36"/>
        <v>-30.834084018935751</v>
      </c>
      <c r="AO75" s="35">
        <f t="shared" si="37"/>
        <v>83.954906462152351</v>
      </c>
      <c r="AP75" s="33"/>
    </row>
    <row r="76" spans="15:42">
      <c r="O76" s="8" t="str">
        <f t="shared" si="31"/>
        <v/>
      </c>
      <c r="P76" s="34" t="s">
        <v>89</v>
      </c>
      <c r="Q76" s="29">
        <v>4</v>
      </c>
      <c r="R76" s="30">
        <v>0.7006944444444444</v>
      </c>
      <c r="S76" s="30">
        <v>0.70277777777777783</v>
      </c>
      <c r="T76" s="30">
        <v>0.76944444444444438</v>
      </c>
      <c r="U76" s="30">
        <v>0.83611111111111114</v>
      </c>
      <c r="V76" s="30">
        <v>0.83819444444444446</v>
      </c>
      <c r="W76" s="35">
        <v>778.9</v>
      </c>
      <c r="X76" s="35">
        <v>15.417999999999999</v>
      </c>
      <c r="Y76" s="35">
        <v>-18.670000000000002</v>
      </c>
      <c r="Z76" s="35">
        <v>3.6739999999999999</v>
      </c>
      <c r="AA76" s="35">
        <f t="shared" si="22"/>
        <v>83.51</v>
      </c>
      <c r="AB76" s="35">
        <f t="shared" si="25"/>
        <v>84.26</v>
      </c>
      <c r="AC76" s="35">
        <f t="shared" si="23"/>
        <v>108.25999999999998</v>
      </c>
      <c r="AD76" s="35">
        <f t="shared" si="26"/>
        <v>132.26</v>
      </c>
      <c r="AE76" s="35">
        <f t="shared" si="24"/>
        <v>133.01</v>
      </c>
      <c r="AF76" s="35">
        <f t="shared" si="32"/>
        <v>-9.1044159891158074</v>
      </c>
      <c r="AG76" s="35">
        <f t="shared" si="33"/>
        <v>252.42397299725977</v>
      </c>
      <c r="AH76" s="35">
        <f t="shared" si="27"/>
        <v>-9.5977326671100816</v>
      </c>
      <c r="AI76" s="35">
        <f t="shared" si="28"/>
        <v>252.94222830049642</v>
      </c>
      <c r="AJ76" s="35">
        <f t="shared" si="34"/>
        <v>-25.882838515898975</v>
      </c>
      <c r="AK76" s="35">
        <f t="shared" si="35"/>
        <v>269.65523170280682</v>
      </c>
      <c r="AL76" s="35">
        <f t="shared" si="29"/>
        <v>-42.142094229414347</v>
      </c>
      <c r="AM76" s="35">
        <f t="shared" si="30"/>
        <v>288.98357750588718</v>
      </c>
      <c r="AN76" s="35">
        <f t="shared" si="36"/>
        <v>-42.629693628346978</v>
      </c>
      <c r="AO76" s="35">
        <f t="shared" si="37"/>
        <v>289.68329725807371</v>
      </c>
      <c r="AP76" s="33"/>
    </row>
    <row r="77" spans="15:42">
      <c r="O77" s="8" t="str">
        <f t="shared" si="31"/>
        <v/>
      </c>
      <c r="P77" s="34" t="s">
        <v>90</v>
      </c>
      <c r="Q77" s="29">
        <v>10</v>
      </c>
      <c r="R77" s="30">
        <v>0.67638888888888893</v>
      </c>
      <c r="S77" s="30">
        <v>0.6777777777777777</v>
      </c>
      <c r="T77" s="30">
        <v>0.76527777777777783</v>
      </c>
      <c r="U77" s="30">
        <v>0.8534722222222223</v>
      </c>
      <c r="V77" s="30">
        <v>0.85486111111111107</v>
      </c>
      <c r="W77" s="35">
        <v>614.4</v>
      </c>
      <c r="X77" s="35">
        <v>14.962</v>
      </c>
      <c r="Y77" s="35">
        <v>-16.87</v>
      </c>
      <c r="Z77" s="35">
        <v>3.234</v>
      </c>
      <c r="AA77" s="35">
        <f t="shared" si="22"/>
        <v>75.000000000000043</v>
      </c>
      <c r="AB77" s="35">
        <f t="shared" si="25"/>
        <v>75.500000000000014</v>
      </c>
      <c r="AC77" s="35">
        <f t="shared" si="23"/>
        <v>107.00000000000004</v>
      </c>
      <c r="AD77" s="35">
        <f t="shared" si="26"/>
        <v>138.75000000000003</v>
      </c>
      <c r="AE77" s="35">
        <f t="shared" si="24"/>
        <v>139.25</v>
      </c>
      <c r="AF77" s="35">
        <f t="shared" si="32"/>
        <v>-2.2741541858711076</v>
      </c>
      <c r="AG77" s="35">
        <f t="shared" si="33"/>
        <v>247.68139468474544</v>
      </c>
      <c r="AH77" s="35">
        <f t="shared" si="27"/>
        <v>-2.5932460843671374</v>
      </c>
      <c r="AI77" s="35">
        <f t="shared" si="28"/>
        <v>248.03826445017665</v>
      </c>
      <c r="AJ77" s="35">
        <f t="shared" si="34"/>
        <v>-23.772220009650741</v>
      </c>
      <c r="AK77" s="35">
        <f t="shared" si="35"/>
        <v>270.17775562909253</v>
      </c>
      <c r="AL77" s="35">
        <f t="shared" si="29"/>
        <v>-44.914114568444397</v>
      </c>
      <c r="AM77" s="35">
        <f t="shared" si="30"/>
        <v>297.00163167823604</v>
      </c>
      <c r="AN77" s="35">
        <f t="shared" si="36"/>
        <v>-45.22034251771133</v>
      </c>
      <c r="AO77" s="35">
        <f t="shared" si="37"/>
        <v>297.52218879380268</v>
      </c>
      <c r="AP77" s="33"/>
    </row>
    <row r="78" spans="15:42">
      <c r="O78" s="8" t="str">
        <f t="shared" si="31"/>
        <v/>
      </c>
      <c r="P78" s="34" t="s">
        <v>91</v>
      </c>
      <c r="Q78" s="29">
        <v>9</v>
      </c>
      <c r="R78" s="30">
        <v>0.9902777777777777</v>
      </c>
      <c r="S78" s="30">
        <v>0.99305555555555547</v>
      </c>
      <c r="T78" s="30">
        <v>0.15486111111111112</v>
      </c>
      <c r="U78" s="30">
        <v>0.31666666666666665</v>
      </c>
      <c r="V78" s="30">
        <v>0.31874999999999998</v>
      </c>
      <c r="W78" s="35">
        <v>108.1</v>
      </c>
      <c r="X78" s="35">
        <v>3.1509999999999998</v>
      </c>
      <c r="Y78" s="35">
        <v>17.649999999999999</v>
      </c>
      <c r="Z78" s="35">
        <v>15.207000000000001</v>
      </c>
      <c r="AA78" s="35">
        <f t="shared" si="22"/>
        <v>544.75999999999988</v>
      </c>
      <c r="AB78" s="35">
        <f t="shared" si="25"/>
        <v>545.7600000000001</v>
      </c>
      <c r="AC78" s="35">
        <f t="shared" si="23"/>
        <v>244.00999999999996</v>
      </c>
      <c r="AD78" s="35">
        <f t="shared" si="26"/>
        <v>302.26000000000005</v>
      </c>
      <c r="AE78" s="35">
        <f t="shared" si="24"/>
        <v>303.01</v>
      </c>
      <c r="AF78" s="35">
        <f t="shared" si="32"/>
        <v>-25.755858746434424</v>
      </c>
      <c r="AG78" s="35">
        <f t="shared" si="33"/>
        <v>5.0369575790846799</v>
      </c>
      <c r="AH78" s="35">
        <f t="shared" si="27"/>
        <v>-25.689049272038545</v>
      </c>
      <c r="AI78" s="35">
        <f t="shared" si="28"/>
        <v>6.0920976293340132</v>
      </c>
      <c r="AJ78" s="35">
        <f t="shared" si="34"/>
        <v>-3.8967666852439855</v>
      </c>
      <c r="AK78" s="35">
        <f t="shared" si="35"/>
        <v>59.153310423091142</v>
      </c>
      <c r="AL78" s="35">
        <f t="shared" si="29"/>
        <v>34.763910084604035</v>
      </c>
      <c r="AM78" s="35">
        <f t="shared" si="30"/>
        <v>101.21270079630169</v>
      </c>
      <c r="AN78" s="35">
        <f t="shared" si="36"/>
        <v>35.270238038003654</v>
      </c>
      <c r="AO78" s="35">
        <f t="shared" si="37"/>
        <v>101.82859478107342</v>
      </c>
      <c r="AP78" s="33"/>
    </row>
    <row r="79" spans="15:42">
      <c r="O79" s="8" t="str">
        <f t="shared" si="31"/>
        <v/>
      </c>
      <c r="P79" s="34" t="s">
        <v>92</v>
      </c>
      <c r="Q79" s="29">
        <v>8</v>
      </c>
      <c r="R79" s="30">
        <v>0.38750000000000001</v>
      </c>
      <c r="S79" s="30">
        <v>0.38819444444444445</v>
      </c>
      <c r="T79" s="30">
        <v>0.50138888888888888</v>
      </c>
      <c r="U79" s="30">
        <v>0.61388888888888882</v>
      </c>
      <c r="V79" s="30">
        <v>0.61527777777777781</v>
      </c>
      <c r="W79" s="35">
        <v>112.7</v>
      </c>
      <c r="X79" s="35">
        <v>15.137</v>
      </c>
      <c r="Y79" s="35">
        <v>-17.59</v>
      </c>
      <c r="Z79" s="35">
        <v>3.4039999999999999</v>
      </c>
      <c r="AA79" s="35">
        <f t="shared" si="22"/>
        <v>-29.074999999999996</v>
      </c>
      <c r="AB79" s="35">
        <f t="shared" si="25"/>
        <v>-28.82500000000001</v>
      </c>
      <c r="AC79" s="35">
        <f t="shared" si="23"/>
        <v>11.92499999999999</v>
      </c>
      <c r="AD79" s="35">
        <f t="shared" si="26"/>
        <v>52.425000000000011</v>
      </c>
      <c r="AE79" s="35">
        <f t="shared" si="24"/>
        <v>52.924999999999983</v>
      </c>
      <c r="AF79" s="35">
        <f t="shared" si="32"/>
        <v>20.792214258613395</v>
      </c>
      <c r="AG79" s="35">
        <f t="shared" si="33"/>
        <v>150.29709707245681</v>
      </c>
      <c r="AH79" s="35">
        <f t="shared" si="27"/>
        <v>20.877251864147169</v>
      </c>
      <c r="AI79" s="35">
        <f t="shared" si="28"/>
        <v>150.535295073171</v>
      </c>
      <c r="AJ79" s="35">
        <f t="shared" si="34"/>
        <v>25.060163590521718</v>
      </c>
      <c r="AK79" s="35">
        <f t="shared" si="35"/>
        <v>192.55863813225699</v>
      </c>
      <c r="AL79" s="35">
        <f t="shared" si="29"/>
        <v>10.455423388655575</v>
      </c>
      <c r="AM79" s="35">
        <f t="shared" si="30"/>
        <v>230.19739294705906</v>
      </c>
      <c r="AN79" s="35">
        <f t="shared" si="36"/>
        <v>10.189991983647646</v>
      </c>
      <c r="AO79" s="35">
        <f t="shared" si="37"/>
        <v>230.59977789011921</v>
      </c>
      <c r="AP79" s="33"/>
    </row>
    <row r="80" spans="15:42">
      <c r="O80" s="8" t="str">
        <f t="shared" si="31"/>
        <v/>
      </c>
      <c r="P80" s="34" t="s">
        <v>93</v>
      </c>
      <c r="Q80" s="29">
        <v>7</v>
      </c>
      <c r="R80" s="30">
        <v>0.41875000000000001</v>
      </c>
      <c r="S80" s="30">
        <v>0.4291666666666667</v>
      </c>
      <c r="T80" s="30">
        <v>0.45694444444444443</v>
      </c>
      <c r="U80" s="30">
        <v>0.48472222222222222</v>
      </c>
      <c r="V80" s="30">
        <v>0.49513888888888885</v>
      </c>
      <c r="W80" s="35">
        <v>930.6</v>
      </c>
      <c r="X80" s="35">
        <v>3.3570000000000002</v>
      </c>
      <c r="Y80" s="35">
        <v>18.45</v>
      </c>
      <c r="Z80" s="35">
        <v>15.414</v>
      </c>
      <c r="AA80" s="35">
        <f t="shared" si="22"/>
        <v>339.02500000000003</v>
      </c>
      <c r="AB80" s="35">
        <f t="shared" si="25"/>
        <v>342.77500000000003</v>
      </c>
      <c r="AC80" s="35">
        <f t="shared" si="23"/>
        <v>352.77500000000003</v>
      </c>
      <c r="AD80" s="35">
        <f t="shared" si="26"/>
        <v>362.77500000000003</v>
      </c>
      <c r="AE80" s="35">
        <f t="shared" si="24"/>
        <v>366.52500000000003</v>
      </c>
      <c r="AF80" s="35">
        <f t="shared" si="32"/>
        <v>57.102088021051998</v>
      </c>
      <c r="AG80" s="35">
        <f t="shared" si="33"/>
        <v>141.30476365138486</v>
      </c>
      <c r="AH80" s="35">
        <f t="shared" si="27"/>
        <v>58.609187034568571</v>
      </c>
      <c r="AI80" s="35">
        <f t="shared" si="28"/>
        <v>147.36434007194151</v>
      </c>
      <c r="AJ80" s="35">
        <f t="shared" si="34"/>
        <v>61.37310370188392</v>
      </c>
      <c r="AK80" s="35">
        <f t="shared" si="35"/>
        <v>165.5810528566706</v>
      </c>
      <c r="AL80" s="35">
        <f t="shared" si="29"/>
        <v>61.906608227060616</v>
      </c>
      <c r="AM80" s="35">
        <f t="shared" si="30"/>
        <v>185.59666360665781</v>
      </c>
      <c r="AN80" s="35">
        <f t="shared" si="36"/>
        <v>61.487619020824013</v>
      </c>
      <c r="AO80" s="35">
        <f t="shared" si="37"/>
        <v>193.05121910057429</v>
      </c>
      <c r="AP80" s="33"/>
    </row>
    <row r="81" spans="15:42">
      <c r="O81" s="8" t="str">
        <f t="shared" si="31"/>
        <v/>
      </c>
      <c r="P81" s="34" t="s">
        <v>94</v>
      </c>
      <c r="Q81" s="29">
        <v>6</v>
      </c>
      <c r="R81" s="30">
        <v>0.13055555555555556</v>
      </c>
      <c r="S81" s="30">
        <v>0.13194444444444445</v>
      </c>
      <c r="T81" s="30">
        <v>0.23611111111111113</v>
      </c>
      <c r="U81" s="30">
        <v>0.33958333333333335</v>
      </c>
      <c r="V81" s="30">
        <v>0.34097222222222223</v>
      </c>
      <c r="W81" s="35">
        <v>386.9</v>
      </c>
      <c r="X81" s="35">
        <v>15.313000000000001</v>
      </c>
      <c r="Y81" s="35">
        <v>-18.28</v>
      </c>
      <c r="Z81" s="35">
        <v>3.5739999999999998</v>
      </c>
      <c r="AA81" s="35">
        <f t="shared" si="22"/>
        <v>-121.66500000000001</v>
      </c>
      <c r="AB81" s="35">
        <f t="shared" si="25"/>
        <v>-121.16499999999998</v>
      </c>
      <c r="AC81" s="35">
        <f t="shared" si="23"/>
        <v>-83.66500000000002</v>
      </c>
      <c r="AD81" s="35">
        <f t="shared" si="26"/>
        <v>-46.415000000000006</v>
      </c>
      <c r="AE81" s="35">
        <f t="shared" si="24"/>
        <v>-45.915000000000006</v>
      </c>
      <c r="AF81" s="35">
        <f t="shared" si="32"/>
        <v>-34.803650362214256</v>
      </c>
      <c r="AG81" s="35">
        <f t="shared" si="33"/>
        <v>79.817325583932941</v>
      </c>
      <c r="AH81" s="35">
        <f t="shared" si="27"/>
        <v>-34.464370881916942</v>
      </c>
      <c r="AI81" s="35">
        <f t="shared" si="28"/>
        <v>80.220955106709468</v>
      </c>
      <c r="AJ81" s="35">
        <f t="shared" si="34"/>
        <v>-8.9252543656497103</v>
      </c>
      <c r="AK81" s="35">
        <f t="shared" si="35"/>
        <v>107.19500478145943</v>
      </c>
      <c r="AL81" s="35">
        <f t="shared" si="29"/>
        <v>12.926681941333994</v>
      </c>
      <c r="AM81" s="35">
        <f t="shared" si="30"/>
        <v>135.11533476410935</v>
      </c>
      <c r="AN81" s="35">
        <f t="shared" si="36"/>
        <v>13.168890452838118</v>
      </c>
      <c r="AO81" s="35">
        <f t="shared" si="37"/>
        <v>135.53449394563748</v>
      </c>
      <c r="AP81" s="33"/>
    </row>
    <row r="82" spans="15:42">
      <c r="O82" s="8" t="str">
        <f t="shared" si="31"/>
        <v/>
      </c>
      <c r="P82" s="34" t="s">
        <v>95</v>
      </c>
      <c r="Q82" s="29">
        <v>4</v>
      </c>
      <c r="R82" s="30">
        <v>0.92013888888888884</v>
      </c>
      <c r="S82" s="30">
        <v>0.92291666666666661</v>
      </c>
      <c r="T82" s="30">
        <v>0.96875</v>
      </c>
      <c r="U82" s="30">
        <v>1.5277777777777777E-2</v>
      </c>
      <c r="V82" s="30">
        <v>1.8055555555555557E-2</v>
      </c>
      <c r="W82" s="35">
        <v>880.4</v>
      </c>
      <c r="X82" s="35">
        <v>15.489000000000001</v>
      </c>
      <c r="Y82" s="35">
        <v>-18.920000000000002</v>
      </c>
      <c r="Z82" s="35">
        <v>3.7440000000000002</v>
      </c>
      <c r="AA82" s="35">
        <f t="shared" ref="AA82:AA99" si="38">15*($Z82+HOUR(R82)+(MINUTE(R82)/60)-$X82)+$C$13</f>
        <v>162.49499999999995</v>
      </c>
      <c r="AB82" s="35">
        <f t="shared" si="25"/>
        <v>163.49499999999995</v>
      </c>
      <c r="AC82" s="35">
        <f t="shared" ref="AC82:AC99" si="39">15*($Z82+HOUR(T82)+(MINUTE(T82)/60)-$X82)+$C$13</f>
        <v>179.99499999999998</v>
      </c>
      <c r="AD82" s="35">
        <f t="shared" si="26"/>
        <v>-163.25500000000002</v>
      </c>
      <c r="AE82" s="35">
        <f t="shared" ref="AE82:AE99" si="40">15*($Z82+HOUR(V82)+(MINUTE(V82)/60)-$X82)+$C$13</f>
        <v>-162.25500000000002</v>
      </c>
      <c r="AF82" s="35">
        <f t="shared" si="32"/>
        <v>-58.935422454433073</v>
      </c>
      <c r="AG82" s="35">
        <f t="shared" si="33"/>
        <v>326.5350856324896</v>
      </c>
      <c r="AH82" s="35">
        <f t="shared" si="27"/>
        <v>-59.306817763819794</v>
      </c>
      <c r="AI82" s="35">
        <f t="shared" si="28"/>
        <v>328.23035203885257</v>
      </c>
      <c r="AJ82" s="35">
        <f t="shared" si="34"/>
        <v>-62.469999692365626</v>
      </c>
      <c r="AK82" s="35">
        <f t="shared" si="35"/>
        <v>359.98976692279007</v>
      </c>
      <c r="AL82" s="35">
        <f t="shared" si="29"/>
        <v>-59.219253984251132</v>
      </c>
      <c r="AM82" s="35">
        <f t="shared" si="30"/>
        <v>32.179487950283786</v>
      </c>
      <c r="AN82" s="35">
        <f t="shared" si="36"/>
        <v>-58.84375674198143</v>
      </c>
      <c r="AO82" s="35">
        <f t="shared" si="37"/>
        <v>33.866908481532882</v>
      </c>
      <c r="AP82" s="33"/>
    </row>
    <row r="83" spans="15:42">
      <c r="O83" s="8" t="str">
        <f t="shared" si="31"/>
        <v/>
      </c>
      <c r="P83" s="34" t="s">
        <v>96</v>
      </c>
      <c r="Q83" s="29">
        <v>11</v>
      </c>
      <c r="R83" s="30">
        <v>0.1</v>
      </c>
      <c r="S83" s="30">
        <v>0.10902777777777778</v>
      </c>
      <c r="T83" s="30">
        <v>0.14305555555555557</v>
      </c>
      <c r="U83" s="30">
        <v>0.17708333333333334</v>
      </c>
      <c r="V83" s="30">
        <v>0.18541666666666667</v>
      </c>
      <c r="W83" s="35">
        <v>924.4</v>
      </c>
      <c r="X83" s="35">
        <v>3.0209999999999999</v>
      </c>
      <c r="Y83" s="35">
        <v>17.12</v>
      </c>
      <c r="Z83" s="35">
        <v>15.076000000000001</v>
      </c>
      <c r="AA83" s="35">
        <f t="shared" si="38"/>
        <v>224.24499999999998</v>
      </c>
      <c r="AB83" s="35">
        <f t="shared" ref="AB83:AB99" si="41">15*($Z83+HOUR(S83)+(MINUTE(S83)/60)-$X83)+$C$13</f>
        <v>227.49499999999998</v>
      </c>
      <c r="AC83" s="35">
        <f t="shared" si="39"/>
        <v>239.74499999999998</v>
      </c>
      <c r="AD83" s="35">
        <f t="shared" ref="AD83:AD99" si="42">15*($Z83+HOUR(U83)+(MINUTE(U83)/60)-$X83)+$C$13</f>
        <v>251.99499999999998</v>
      </c>
      <c r="AE83" s="35">
        <f t="shared" si="40"/>
        <v>254.99499999999998</v>
      </c>
      <c r="AF83" s="35">
        <f t="shared" si="32"/>
        <v>-14.971634174555732</v>
      </c>
      <c r="AG83" s="35">
        <f t="shared" si="33"/>
        <v>43.649342665415553</v>
      </c>
      <c r="AH83" s="35">
        <f t="shared" ref="AH83:AH99" si="43">$Z$103*ASIN(SIN($Z$102*$Y83)*SIN($Z$102*$C$12)+COS($Z$102*$Y83)*COS($Z$102*AB83)*COS($Z$102*$C$12))</f>
        <v>-13.387524416366809</v>
      </c>
      <c r="AI83" s="35">
        <f t="shared" si="28"/>
        <v>46.405040861361329</v>
      </c>
      <c r="AJ83" s="35">
        <f t="shared" si="34"/>
        <v>-6.8003191207004843</v>
      </c>
      <c r="AK83" s="35">
        <f t="shared" si="35"/>
        <v>56.239315555096596</v>
      </c>
      <c r="AL83" s="35">
        <f t="shared" ref="AL83:AL99" si="44">$Z$103*ASIN(SIN($Z$102*$Y83)*SIN($Z$102*$C$12)+COS($Z$102*$Y83)*COS($Z$102*AD83)*COS($Z$102*$C$12))</f>
        <v>0.56293332481803737</v>
      </c>
      <c r="AM83" s="35">
        <f t="shared" ref="AM83:AM99" si="45">IF(SIN($Z$102*AD83)&lt;0,ACOS((SIN($Z$102*$Y83)-SIN($Z$102*AL83)*SIN($Z$102*$C$12))/(COS($Z$102*AL83)*COS($Z$102*$C$12)))/$Z$102,360-ACOS((SIN($Z$102*$Y83)-SIN($Z$102*AL83)*SIN($Z$102*$C$12))/(COS($Z$102*AL83)*COS($Z$102*$C$12)))/$Z$102)</f>
        <v>65.358396207453126</v>
      </c>
      <c r="AN83" s="35">
        <f t="shared" si="36"/>
        <v>2.4574413831200892</v>
      </c>
      <c r="AO83" s="35">
        <f t="shared" si="37"/>
        <v>67.51116522137589</v>
      </c>
      <c r="AP83" s="33"/>
    </row>
    <row r="84" spans="15:42">
      <c r="O84" s="8" t="str">
        <f t="shared" si="31"/>
        <v/>
      </c>
      <c r="P84" s="34" t="s">
        <v>97</v>
      </c>
      <c r="Q84" s="29">
        <v>10</v>
      </c>
      <c r="R84" s="30">
        <v>0.8666666666666667</v>
      </c>
      <c r="S84" s="30">
        <v>0.86805555555555547</v>
      </c>
      <c r="T84" s="30">
        <v>0.96458333333333324</v>
      </c>
      <c r="U84" s="30">
        <v>6.1111111111111116E-2</v>
      </c>
      <c r="V84" s="30">
        <v>6.25E-2</v>
      </c>
      <c r="W84" s="35">
        <v>509.8</v>
      </c>
      <c r="X84" s="35">
        <v>15.032999999999999</v>
      </c>
      <c r="Y84" s="35">
        <v>-17.170000000000002</v>
      </c>
      <c r="Z84" s="35">
        <v>3.3039999999999998</v>
      </c>
      <c r="AA84" s="35">
        <f t="shared" si="38"/>
        <v>143.48499999999999</v>
      </c>
      <c r="AB84" s="35">
        <f t="shared" si="41"/>
        <v>143.98499999999996</v>
      </c>
      <c r="AC84" s="35">
        <f t="shared" si="39"/>
        <v>178.73499999999996</v>
      </c>
      <c r="AD84" s="35">
        <f t="shared" si="42"/>
        <v>-146.51499999999999</v>
      </c>
      <c r="AE84" s="35">
        <f t="shared" si="40"/>
        <v>-146.01500000000001</v>
      </c>
      <c r="AF84" s="35">
        <f t="shared" si="32"/>
        <v>-47.989326608923733</v>
      </c>
      <c r="AG84" s="35">
        <f t="shared" si="33"/>
        <v>301.84748015477231</v>
      </c>
      <c r="AH84" s="35">
        <f t="shared" si="43"/>
        <v>-48.281056191619129</v>
      </c>
      <c r="AI84" s="35">
        <f t="shared" si="28"/>
        <v>302.41432375024107</v>
      </c>
      <c r="AJ84" s="35">
        <f t="shared" si="34"/>
        <v>-60.701210415993273</v>
      </c>
      <c r="AK84" s="35">
        <f t="shared" si="35"/>
        <v>357.52965260929432</v>
      </c>
      <c r="AL84" s="35">
        <f t="shared" si="44"/>
        <v>-49.728086448119711</v>
      </c>
      <c r="AM84" s="35">
        <f t="shared" si="45"/>
        <v>54.633481095861363</v>
      </c>
      <c r="AN84" s="35">
        <f t="shared" si="36"/>
        <v>-49.44613185110115</v>
      </c>
      <c r="AO84" s="35">
        <f t="shared" si="37"/>
        <v>55.22833455609166</v>
      </c>
      <c r="AP84" s="33"/>
    </row>
    <row r="85" spans="15:42">
      <c r="O85" s="8" t="str">
        <f t="shared" si="31"/>
        <v/>
      </c>
      <c r="P85" s="34" t="s">
        <v>98</v>
      </c>
      <c r="Q85" s="29">
        <v>9</v>
      </c>
      <c r="R85" s="30">
        <v>0.26874999999999999</v>
      </c>
      <c r="S85" s="30">
        <v>0.27083333333333331</v>
      </c>
      <c r="T85" s="30">
        <v>0.43333333333333335</v>
      </c>
      <c r="U85" s="30">
        <v>0.59583333333333333</v>
      </c>
      <c r="V85" s="30">
        <v>0.59791666666666665</v>
      </c>
      <c r="W85" s="35">
        <v>96</v>
      </c>
      <c r="X85" s="35">
        <v>3.226</v>
      </c>
      <c r="Y85" s="35">
        <v>17.940000000000001</v>
      </c>
      <c r="Z85" s="35">
        <v>15.282</v>
      </c>
      <c r="AA85" s="35">
        <f t="shared" si="38"/>
        <v>285.01000000000005</v>
      </c>
      <c r="AB85" s="35">
        <f t="shared" si="41"/>
        <v>285.76000000000005</v>
      </c>
      <c r="AC85" s="35">
        <f t="shared" si="39"/>
        <v>344.26</v>
      </c>
      <c r="AD85" s="35">
        <f t="shared" si="42"/>
        <v>402.76000000000005</v>
      </c>
      <c r="AE85" s="35">
        <f t="shared" si="40"/>
        <v>403.51000000000005</v>
      </c>
      <c r="AF85" s="35">
        <f t="shared" si="32"/>
        <v>23.141842321927275</v>
      </c>
      <c r="AG85" s="35">
        <f t="shared" si="33"/>
        <v>87.903342984331942</v>
      </c>
      <c r="AH85" s="35">
        <f t="shared" si="43"/>
        <v>23.658317782619797</v>
      </c>
      <c r="AI85" s="35">
        <f t="shared" si="28"/>
        <v>88.439791881012084</v>
      </c>
      <c r="AJ85" s="35">
        <f t="shared" si="34"/>
        <v>58.666475186826005</v>
      </c>
      <c r="AK85" s="35">
        <f t="shared" si="35"/>
        <v>150.24478558070325</v>
      </c>
      <c r="AL85" s="35">
        <f t="shared" si="44"/>
        <v>44.789779107971874</v>
      </c>
      <c r="AM85" s="35">
        <f t="shared" si="45"/>
        <v>245.52392595382145</v>
      </c>
      <c r="AN85" s="35">
        <f t="shared" si="36"/>
        <v>44.31808269637488</v>
      </c>
      <c r="AO85" s="35">
        <f t="shared" si="37"/>
        <v>246.27525450321048</v>
      </c>
      <c r="AP85" s="33"/>
    </row>
    <row r="86" spans="15:42">
      <c r="O86" s="8" t="str">
        <f t="shared" si="31"/>
        <v/>
      </c>
      <c r="P86" s="34" t="s">
        <v>99</v>
      </c>
      <c r="Q86" s="29">
        <v>8</v>
      </c>
      <c r="R86" s="30">
        <v>0.5854166666666667</v>
      </c>
      <c r="S86" s="30">
        <v>0.58680555555555558</v>
      </c>
      <c r="T86" s="30">
        <v>0.7</v>
      </c>
      <c r="U86" s="30">
        <v>0.81388888888888899</v>
      </c>
      <c r="V86" s="30">
        <v>0.81458333333333333</v>
      </c>
      <c r="W86" s="35">
        <v>9.1</v>
      </c>
      <c r="X86" s="35">
        <v>15.207000000000001</v>
      </c>
      <c r="Y86" s="35">
        <v>-17.87</v>
      </c>
      <c r="Z86" s="35">
        <v>3.4740000000000002</v>
      </c>
      <c r="AA86" s="35">
        <f t="shared" si="38"/>
        <v>42.175000000000004</v>
      </c>
      <c r="AB86" s="35">
        <f t="shared" si="41"/>
        <v>42.674999999999976</v>
      </c>
      <c r="AC86" s="35">
        <f t="shared" si="39"/>
        <v>83.424999999999997</v>
      </c>
      <c r="AD86" s="35">
        <f t="shared" si="42"/>
        <v>124.42500000000003</v>
      </c>
      <c r="AE86" s="35">
        <f t="shared" si="40"/>
        <v>124.675</v>
      </c>
      <c r="AF86" s="35">
        <f t="shared" si="32"/>
        <v>15.281998885749454</v>
      </c>
      <c r="AG86" s="35">
        <f t="shared" si="33"/>
        <v>221.48539990265971</v>
      </c>
      <c r="AH86" s="35">
        <f t="shared" si="43"/>
        <v>15.052824663893054</v>
      </c>
      <c r="AI86" s="35">
        <f t="shared" si="28"/>
        <v>221.91751212653915</v>
      </c>
      <c r="AJ86" s="35">
        <f t="shared" si="34"/>
        <v>-8.4714896462813307</v>
      </c>
      <c r="AK86" s="35">
        <f t="shared" si="35"/>
        <v>252.92576879926108</v>
      </c>
      <c r="AL86" s="35">
        <f t="shared" si="44"/>
        <v>-36.378325969168309</v>
      </c>
      <c r="AM86" s="35">
        <f t="shared" si="45"/>
        <v>282.81256655079164</v>
      </c>
      <c r="AN86" s="35">
        <f t="shared" si="36"/>
        <v>-36.546213757982706</v>
      </c>
      <c r="AO86" s="35">
        <f t="shared" si="37"/>
        <v>283.02221308656317</v>
      </c>
      <c r="AP86" s="33"/>
    </row>
    <row r="87" spans="15:42">
      <c r="O87" s="8" t="str">
        <f t="shared" si="31"/>
        <v/>
      </c>
      <c r="P87" s="34" t="s">
        <v>100</v>
      </c>
      <c r="Q87" s="29">
        <v>6</v>
      </c>
      <c r="R87" s="30">
        <v>0.33611111111111108</v>
      </c>
      <c r="S87" s="30">
        <v>0.33750000000000002</v>
      </c>
      <c r="T87" s="30">
        <v>0.43541666666666662</v>
      </c>
      <c r="U87" s="30">
        <v>0.53263888888888888</v>
      </c>
      <c r="V87" s="30">
        <v>0.53402777777777777</v>
      </c>
      <c r="W87" s="35">
        <v>488.6</v>
      </c>
      <c r="X87" s="35">
        <v>15.384</v>
      </c>
      <c r="Y87" s="35">
        <v>-18.54</v>
      </c>
      <c r="Z87" s="35">
        <v>3.6440000000000001</v>
      </c>
      <c r="AA87" s="35">
        <f t="shared" si="38"/>
        <v>-47.680000000000007</v>
      </c>
      <c r="AB87" s="35">
        <f t="shared" si="41"/>
        <v>-47.180000000000007</v>
      </c>
      <c r="AC87" s="35">
        <f t="shared" si="39"/>
        <v>-11.930000000000016</v>
      </c>
      <c r="AD87" s="35">
        <f t="shared" si="42"/>
        <v>23.069999999999993</v>
      </c>
      <c r="AE87" s="35">
        <f t="shared" si="40"/>
        <v>23.570000000000022</v>
      </c>
      <c r="AF87" s="35">
        <f t="shared" si="32"/>
        <v>12.084085277468853</v>
      </c>
      <c r="AG87" s="35">
        <f t="shared" si="33"/>
        <v>134.20016945457965</v>
      </c>
      <c r="AH87" s="35">
        <f t="shared" si="43"/>
        <v>12.330185269690135</v>
      </c>
      <c r="AI87" s="35">
        <f t="shared" si="28"/>
        <v>134.61470808849484</v>
      </c>
      <c r="AJ87" s="35">
        <f t="shared" si="34"/>
        <v>24.12114038131141</v>
      </c>
      <c r="AK87" s="35">
        <f t="shared" si="35"/>
        <v>167.5998116571875</v>
      </c>
      <c r="AL87" s="35">
        <f t="shared" si="44"/>
        <v>21.748648348922632</v>
      </c>
      <c r="AM87" s="35">
        <f t="shared" si="45"/>
        <v>203.57761149891905</v>
      </c>
      <c r="AN87" s="35">
        <f t="shared" si="36"/>
        <v>21.609511387588796</v>
      </c>
      <c r="AO87" s="35">
        <f t="shared" si="37"/>
        <v>204.06527793577351</v>
      </c>
      <c r="AP87" s="33"/>
    </row>
    <row r="88" spans="15:42">
      <c r="O88" s="8" t="str">
        <f t="shared" si="31"/>
        <v/>
      </c>
      <c r="P88" s="34" t="s">
        <v>101</v>
      </c>
      <c r="Q88" s="29">
        <v>12</v>
      </c>
      <c r="R88" s="30">
        <v>0.38472222222222219</v>
      </c>
      <c r="S88" s="30">
        <v>0.38819444444444445</v>
      </c>
      <c r="T88" s="30">
        <v>0.42569444444444443</v>
      </c>
      <c r="U88" s="30">
        <v>0.46250000000000002</v>
      </c>
      <c r="V88" s="30">
        <v>0.46597222222222223</v>
      </c>
      <c r="W88" s="35">
        <v>911</v>
      </c>
      <c r="X88" s="35">
        <v>14.93</v>
      </c>
      <c r="Y88" s="35">
        <v>-16.73</v>
      </c>
      <c r="Z88" s="35">
        <v>3.2029999999999998</v>
      </c>
      <c r="AA88" s="35">
        <f t="shared" si="38"/>
        <v>-29.985000000000014</v>
      </c>
      <c r="AB88" s="35">
        <f t="shared" si="41"/>
        <v>-28.735000000000007</v>
      </c>
      <c r="AC88" s="35">
        <f t="shared" si="39"/>
        <v>-15.235000000000001</v>
      </c>
      <c r="AD88" s="35">
        <f t="shared" si="42"/>
        <v>-1.9850000000000101</v>
      </c>
      <c r="AE88" s="35">
        <f t="shared" si="40"/>
        <v>-0.73500000000000121</v>
      </c>
      <c r="AF88" s="35">
        <f t="shared" si="32"/>
        <v>21.276914665022016</v>
      </c>
      <c r="AG88" s="35">
        <f t="shared" si="33"/>
        <v>149.09413792893827</v>
      </c>
      <c r="AH88" s="35">
        <f t="shared" si="43"/>
        <v>21.711518023748638</v>
      </c>
      <c r="AI88" s="35">
        <f t="shared" si="28"/>
        <v>150.29292469538021</v>
      </c>
      <c r="AJ88" s="35">
        <f t="shared" si="34"/>
        <v>25.340723304480282</v>
      </c>
      <c r="AK88" s="35">
        <f t="shared" si="35"/>
        <v>163.83237733287507</v>
      </c>
      <c r="AL88" s="35">
        <f t="shared" si="44"/>
        <v>26.794582614617589</v>
      </c>
      <c r="AM88" s="35">
        <f t="shared" si="45"/>
        <v>177.87029395470842</v>
      </c>
      <c r="AN88" s="35">
        <f t="shared" si="36"/>
        <v>26.816514508561188</v>
      </c>
      <c r="AO88" s="35">
        <f t="shared" si="37"/>
        <v>179.21128670576468</v>
      </c>
      <c r="AP88" s="33"/>
    </row>
    <row r="89" spans="15:42">
      <c r="O89" s="8" t="str">
        <f t="shared" si="31"/>
        <v/>
      </c>
      <c r="P89" s="34" t="s">
        <v>102</v>
      </c>
      <c r="Q89" s="29">
        <v>11</v>
      </c>
      <c r="R89" s="30">
        <v>0.30763888888888891</v>
      </c>
      <c r="S89" s="30">
        <v>0.31041666666666667</v>
      </c>
      <c r="T89" s="30">
        <v>0.41388888888888892</v>
      </c>
      <c r="U89" s="30">
        <v>0.51736111111111105</v>
      </c>
      <c r="V89" s="30">
        <v>0.52083333333333337</v>
      </c>
      <c r="W89" s="35">
        <v>728.5</v>
      </c>
      <c r="X89" s="35">
        <v>3.0950000000000002</v>
      </c>
      <c r="Y89" s="35">
        <v>17.41</v>
      </c>
      <c r="Z89" s="35">
        <v>15.15</v>
      </c>
      <c r="AA89" s="35">
        <f t="shared" si="38"/>
        <v>298.995</v>
      </c>
      <c r="AB89" s="35">
        <f t="shared" si="41"/>
        <v>299.995</v>
      </c>
      <c r="AC89" s="35">
        <f t="shared" si="39"/>
        <v>337.245</v>
      </c>
      <c r="AD89" s="35">
        <f t="shared" si="42"/>
        <v>374.495</v>
      </c>
      <c r="AE89" s="35">
        <f t="shared" si="40"/>
        <v>375.745</v>
      </c>
      <c r="AF89" s="35">
        <f t="shared" si="32"/>
        <v>32.380037010904047</v>
      </c>
      <c r="AG89" s="35">
        <f t="shared" si="33"/>
        <v>98.791641959027558</v>
      </c>
      <c r="AH89" s="35">
        <f t="shared" si="43"/>
        <v>33.060177593511341</v>
      </c>
      <c r="AI89" s="35">
        <f t="shared" si="28"/>
        <v>99.587117040829412</v>
      </c>
      <c r="AJ89" s="35">
        <f t="shared" si="34"/>
        <v>55.397534597591523</v>
      </c>
      <c r="AK89" s="35">
        <f t="shared" si="35"/>
        <v>139.46499118907749</v>
      </c>
      <c r="AL89" s="35">
        <f t="shared" si="44"/>
        <v>58.578464209310191</v>
      </c>
      <c r="AM89" s="35">
        <f t="shared" si="45"/>
        <v>207.26550442810719</v>
      </c>
      <c r="AN89" s="35">
        <f t="shared" si="36"/>
        <v>58.169688191322216</v>
      </c>
      <c r="AO89" s="35">
        <f t="shared" si="37"/>
        <v>209.40247447863564</v>
      </c>
      <c r="AP89" s="33"/>
    </row>
    <row r="90" spans="15:42">
      <c r="O90" s="8" t="str">
        <f t="shared" si="31"/>
        <v/>
      </c>
      <c r="P90" s="34" t="s">
        <v>103</v>
      </c>
      <c r="Q90" s="29">
        <v>10</v>
      </c>
      <c r="R90" s="30">
        <v>5.9027777777777783E-2</v>
      </c>
      <c r="S90" s="30">
        <v>6.0416666666666667E-2</v>
      </c>
      <c r="T90" s="30">
        <v>0.16319444444444445</v>
      </c>
      <c r="U90" s="30">
        <v>0.26666666666666666</v>
      </c>
      <c r="V90" s="30">
        <v>0.26805555555555555</v>
      </c>
      <c r="W90" s="35">
        <v>406.5</v>
      </c>
      <c r="X90" s="35">
        <v>15.103</v>
      </c>
      <c r="Y90" s="35">
        <v>-17.45</v>
      </c>
      <c r="Z90" s="35">
        <v>3.3730000000000002</v>
      </c>
      <c r="AA90" s="35">
        <f t="shared" si="38"/>
        <v>-147.28</v>
      </c>
      <c r="AB90" s="35">
        <f t="shared" si="41"/>
        <v>-146.78</v>
      </c>
      <c r="AC90" s="35">
        <f t="shared" si="39"/>
        <v>-109.77999999999999</v>
      </c>
      <c r="AD90" s="35">
        <f t="shared" si="42"/>
        <v>-72.529999999999973</v>
      </c>
      <c r="AE90" s="35">
        <f t="shared" si="40"/>
        <v>-72.029999999999973</v>
      </c>
      <c r="AF90" s="35">
        <f t="shared" si="32"/>
        <v>-50.382994468848409</v>
      </c>
      <c r="AG90" s="35">
        <f t="shared" si="33"/>
        <v>53.967342118421293</v>
      </c>
      <c r="AH90" s="35">
        <f t="shared" si="43"/>
        <v>-50.103343622551819</v>
      </c>
      <c r="AI90" s="35">
        <f t="shared" si="28"/>
        <v>54.571558867690342</v>
      </c>
      <c r="AJ90" s="35">
        <f t="shared" si="34"/>
        <v>-26.089197920976282</v>
      </c>
      <c r="AK90" s="35">
        <f t="shared" si="35"/>
        <v>88.253404185118512</v>
      </c>
      <c r="AL90" s="35">
        <f t="shared" si="44"/>
        <v>-1.1471827877516902</v>
      </c>
      <c r="AM90" s="35">
        <f t="shared" si="45"/>
        <v>114.47274230535064</v>
      </c>
      <c r="AN90" s="35">
        <f t="shared" si="36"/>
        <v>-0.83408908982601526</v>
      </c>
      <c r="AO90" s="35">
        <f t="shared" si="37"/>
        <v>114.8326453914941</v>
      </c>
      <c r="AP90" s="33"/>
    </row>
    <row r="91" spans="15:42">
      <c r="O91" s="8" t="str">
        <f t="shared" si="31"/>
        <v/>
      </c>
      <c r="P91" s="34" t="s">
        <v>104</v>
      </c>
      <c r="Q91" s="29">
        <v>9</v>
      </c>
      <c r="R91" s="30">
        <v>0.55069444444444449</v>
      </c>
      <c r="S91" s="30">
        <v>0.55277777777777781</v>
      </c>
      <c r="T91" s="30">
        <v>0.70763888888888893</v>
      </c>
      <c r="U91" s="30">
        <v>0.86319444444444438</v>
      </c>
      <c r="V91" s="30">
        <v>0.8652777777777777</v>
      </c>
      <c r="W91" s="35">
        <v>296.2</v>
      </c>
      <c r="X91" s="35">
        <v>3.3010000000000002</v>
      </c>
      <c r="Y91" s="35">
        <v>18.23</v>
      </c>
      <c r="Z91" s="35">
        <v>15.356999999999999</v>
      </c>
      <c r="AA91" s="35">
        <f t="shared" si="38"/>
        <v>386.51</v>
      </c>
      <c r="AB91" s="35">
        <f t="shared" si="41"/>
        <v>387.25999999999993</v>
      </c>
      <c r="AC91" s="35">
        <f t="shared" si="39"/>
        <v>443.01</v>
      </c>
      <c r="AD91" s="35">
        <f t="shared" si="42"/>
        <v>499.01</v>
      </c>
      <c r="AE91" s="35">
        <f t="shared" si="40"/>
        <v>499.75999999999993</v>
      </c>
      <c r="AF91" s="35">
        <f t="shared" si="32"/>
        <v>54.32439389899443</v>
      </c>
      <c r="AG91" s="35">
        <f t="shared" si="33"/>
        <v>226.63085952696778</v>
      </c>
      <c r="AH91" s="35">
        <f t="shared" si="43"/>
        <v>53.945575562288361</v>
      </c>
      <c r="AI91" s="35">
        <f t="shared" si="28"/>
        <v>227.66058529942327</v>
      </c>
      <c r="AJ91" s="35">
        <f t="shared" si="34"/>
        <v>17.840675744478929</v>
      </c>
      <c r="AK91" s="35">
        <f t="shared" si="35"/>
        <v>277.95634984256401</v>
      </c>
      <c r="AL91" s="35">
        <f t="shared" si="44"/>
        <v>-15.499432993547748</v>
      </c>
      <c r="AM91" s="35">
        <f t="shared" si="45"/>
        <v>319.72048440614344</v>
      </c>
      <c r="AN91" s="35">
        <f t="shared" si="36"/>
        <v>-15.831257117958158</v>
      </c>
      <c r="AO91" s="35">
        <f t="shared" si="37"/>
        <v>320.37515523804109</v>
      </c>
      <c r="AP91" s="33"/>
    </row>
    <row r="92" spans="15:42">
      <c r="O92" s="8" t="str">
        <f t="shared" si="31"/>
        <v/>
      </c>
      <c r="P92" s="34" t="s">
        <v>105</v>
      </c>
      <c r="Q92" s="29">
        <v>8</v>
      </c>
      <c r="R92" s="30">
        <v>0.78472222222222221</v>
      </c>
      <c r="S92" s="30">
        <v>0.78611111111111109</v>
      </c>
      <c r="T92" s="30">
        <v>0.89930555555555547</v>
      </c>
      <c r="U92" s="30">
        <v>1.1805555555555555E-2</v>
      </c>
      <c r="V92" s="30">
        <v>1.3194444444444444E-2</v>
      </c>
      <c r="W92" s="35">
        <v>95.4</v>
      </c>
      <c r="X92" s="35">
        <v>15.279</v>
      </c>
      <c r="Y92" s="35">
        <v>-18.14</v>
      </c>
      <c r="Z92" s="35">
        <v>3.5430000000000001</v>
      </c>
      <c r="AA92" s="35">
        <f t="shared" si="38"/>
        <v>113.87999999999998</v>
      </c>
      <c r="AB92" s="35">
        <f t="shared" si="41"/>
        <v>114.38</v>
      </c>
      <c r="AC92" s="35">
        <f t="shared" si="39"/>
        <v>155.12999999999997</v>
      </c>
      <c r="AD92" s="35">
        <f t="shared" si="42"/>
        <v>-164.37</v>
      </c>
      <c r="AE92" s="35">
        <f t="shared" si="40"/>
        <v>-163.87000000000003</v>
      </c>
      <c r="AF92" s="35">
        <f t="shared" si="32"/>
        <v>-29.386984591867531</v>
      </c>
      <c r="AG92" s="35">
        <f t="shared" si="33"/>
        <v>274.23285863865021</v>
      </c>
      <c r="AH92" s="35">
        <f t="shared" si="43"/>
        <v>-29.730452400958747</v>
      </c>
      <c r="AI92" s="35">
        <f t="shared" si="28"/>
        <v>274.61030853500085</v>
      </c>
      <c r="AJ92" s="35">
        <f t="shared" si="34"/>
        <v>-55.052424276347722</v>
      </c>
      <c r="AK92" s="35">
        <f t="shared" si="35"/>
        <v>315.75762807967476</v>
      </c>
      <c r="AL92" s="35">
        <f t="shared" si="44"/>
        <v>-58.890700979544505</v>
      </c>
      <c r="AM92" s="35">
        <f t="shared" si="45"/>
        <v>29.705563204421626</v>
      </c>
      <c r="AN92" s="35">
        <f t="shared" si="36"/>
        <v>-58.717761538072068</v>
      </c>
      <c r="AO92" s="35">
        <f t="shared" si="37"/>
        <v>30.559993066771515</v>
      </c>
      <c r="AP92" s="33"/>
    </row>
    <row r="93" spans="15:42">
      <c r="O93" s="8" t="str">
        <f t="shared" si="31"/>
        <v/>
      </c>
      <c r="P93" s="34" t="s">
        <v>106</v>
      </c>
      <c r="Q93" s="29">
        <v>6</v>
      </c>
      <c r="R93" s="30">
        <v>0.54305555555555551</v>
      </c>
      <c r="S93" s="30">
        <v>0.5444444444444444</v>
      </c>
      <c r="T93" s="30">
        <v>0.6333333333333333</v>
      </c>
      <c r="U93" s="30">
        <v>0.72291666666666676</v>
      </c>
      <c r="V93" s="30">
        <v>0.72430555555555554</v>
      </c>
      <c r="W93" s="35">
        <v>591.6</v>
      </c>
      <c r="X93" s="35">
        <v>15.456</v>
      </c>
      <c r="Y93" s="35">
        <v>-18.8</v>
      </c>
      <c r="Z93" s="35">
        <v>3.7130000000000001</v>
      </c>
      <c r="AA93" s="35">
        <f t="shared" si="38"/>
        <v>26.775000000000048</v>
      </c>
      <c r="AB93" s="35">
        <f t="shared" si="41"/>
        <v>27.27500000000002</v>
      </c>
      <c r="AC93" s="35">
        <f t="shared" si="39"/>
        <v>59.275000000000013</v>
      </c>
      <c r="AD93" s="35">
        <f t="shared" si="42"/>
        <v>91.525000000000048</v>
      </c>
      <c r="AE93" s="35">
        <f t="shared" si="40"/>
        <v>92.02500000000002</v>
      </c>
      <c r="AF93" s="35">
        <f t="shared" si="32"/>
        <v>20.409614100920251</v>
      </c>
      <c r="AG93" s="35">
        <f t="shared" si="33"/>
        <v>207.06613408323648</v>
      </c>
      <c r="AH93" s="35">
        <f t="shared" si="43"/>
        <v>20.251590472152721</v>
      </c>
      <c r="AI93" s="35">
        <f t="shared" si="28"/>
        <v>207.54194216667582</v>
      </c>
      <c r="AJ93" s="35">
        <f t="shared" si="34"/>
        <v>5.7199457311289716</v>
      </c>
      <c r="AK93" s="35">
        <f t="shared" si="35"/>
        <v>234.86911397774799</v>
      </c>
      <c r="AL93" s="35">
        <f t="shared" si="44"/>
        <v>-14.532401527042193</v>
      </c>
      <c r="AM93" s="35">
        <f t="shared" si="45"/>
        <v>257.84759981992488</v>
      </c>
      <c r="AN93" s="35">
        <f t="shared" si="36"/>
        <v>-14.869390909980179</v>
      </c>
      <c r="AO93" s="35">
        <f t="shared" si="37"/>
        <v>258.19122606730377</v>
      </c>
      <c r="AP93" s="33"/>
    </row>
    <row r="94" spans="15:42">
      <c r="O94" s="8" t="str">
        <f t="shared" si="31"/>
        <v/>
      </c>
      <c r="P94" s="34" t="s">
        <v>107</v>
      </c>
      <c r="Q94" s="29">
        <v>12</v>
      </c>
      <c r="R94" s="30">
        <v>0.55972222222222223</v>
      </c>
      <c r="S94" s="30">
        <v>0.56180555555555556</v>
      </c>
      <c r="T94" s="30">
        <v>0.62430555555555556</v>
      </c>
      <c r="U94" s="30">
        <v>0.68680555555555556</v>
      </c>
      <c r="V94" s="30">
        <v>0.68888888888888899</v>
      </c>
      <c r="W94" s="35">
        <v>807.4</v>
      </c>
      <c r="X94" s="35">
        <v>15</v>
      </c>
      <c r="Y94" s="35">
        <v>-17.02</v>
      </c>
      <c r="Z94" s="35">
        <v>3.2730000000000001</v>
      </c>
      <c r="AA94" s="35">
        <f t="shared" si="38"/>
        <v>33.015000000000001</v>
      </c>
      <c r="AB94" s="35">
        <f t="shared" si="41"/>
        <v>33.765000000000008</v>
      </c>
      <c r="AC94" s="35">
        <f t="shared" si="39"/>
        <v>56.265000000000015</v>
      </c>
      <c r="AD94" s="35">
        <f t="shared" si="42"/>
        <v>78.765000000000015</v>
      </c>
      <c r="AE94" s="35">
        <f t="shared" si="40"/>
        <v>79.515000000000029</v>
      </c>
      <c r="AF94" s="35">
        <f t="shared" si="32"/>
        <v>19.894342188835235</v>
      </c>
      <c r="AG94" s="35">
        <f t="shared" si="33"/>
        <v>213.64603476342685</v>
      </c>
      <c r="AH94" s="35">
        <f t="shared" si="43"/>
        <v>19.605423407555669</v>
      </c>
      <c r="AI94" s="35">
        <f t="shared" si="28"/>
        <v>214.3434378860309</v>
      </c>
      <c r="AJ94" s="35">
        <f t="shared" si="34"/>
        <v>8.8430015532762134</v>
      </c>
      <c r="AK94" s="35">
        <f t="shared" si="35"/>
        <v>233.58693144743938</v>
      </c>
      <c r="AL94" s="35">
        <f t="shared" si="44"/>
        <v>-4.8062519943840689</v>
      </c>
      <c r="AM94" s="35">
        <f t="shared" si="45"/>
        <v>250.25199112044675</v>
      </c>
      <c r="AN94" s="35">
        <f t="shared" si="36"/>
        <v>-5.2934002213773956</v>
      </c>
      <c r="AO94" s="35">
        <f t="shared" si="37"/>
        <v>250.7803447334785</v>
      </c>
      <c r="AP94" s="33"/>
    </row>
    <row r="95" spans="15:42">
      <c r="O95" s="8" t="str">
        <f t="shared" si="31"/>
        <v/>
      </c>
      <c r="P95" s="34" t="s">
        <v>108</v>
      </c>
      <c r="Q95" s="29">
        <v>11</v>
      </c>
      <c r="R95" s="30">
        <v>0.55277777777777781</v>
      </c>
      <c r="S95" s="30">
        <v>0.55555555555555558</v>
      </c>
      <c r="T95" s="30">
        <v>0.69027777777777777</v>
      </c>
      <c r="U95" s="30">
        <v>0.82430555555555562</v>
      </c>
      <c r="V95" s="30">
        <v>0.82708333333333339</v>
      </c>
      <c r="W95" s="35">
        <v>529.70000000000005</v>
      </c>
      <c r="X95" s="35">
        <v>3.17</v>
      </c>
      <c r="Y95" s="35">
        <v>17.71</v>
      </c>
      <c r="Z95" s="35">
        <v>15.225</v>
      </c>
      <c r="AA95" s="35">
        <f t="shared" si="38"/>
        <v>387.245</v>
      </c>
      <c r="AB95" s="35">
        <f t="shared" si="41"/>
        <v>388.24500000000006</v>
      </c>
      <c r="AC95" s="35">
        <f t="shared" si="39"/>
        <v>436.74500000000006</v>
      </c>
      <c r="AD95" s="35">
        <f t="shared" si="42"/>
        <v>484.995</v>
      </c>
      <c r="AE95" s="35">
        <f t="shared" si="40"/>
        <v>485.99500000000006</v>
      </c>
      <c r="AF95" s="35">
        <f t="shared" si="32"/>
        <v>53.513305042261848</v>
      </c>
      <c r="AG95" s="35">
        <f t="shared" si="33"/>
        <v>227.17141321370823</v>
      </c>
      <c r="AH95" s="35">
        <f t="shared" si="43"/>
        <v>53.002541820486648</v>
      </c>
      <c r="AI95" s="35">
        <f t="shared" si="28"/>
        <v>228.51563464795939</v>
      </c>
      <c r="AJ95" s="35">
        <f t="shared" si="34"/>
        <v>21.775056852563228</v>
      </c>
      <c r="AK95" s="35">
        <f t="shared" si="35"/>
        <v>273.16580389619241</v>
      </c>
      <c r="AL95" s="35">
        <f t="shared" si="44"/>
        <v>-8.9710769409852205</v>
      </c>
      <c r="AM95" s="35">
        <f t="shared" si="45"/>
        <v>307.81044617836517</v>
      </c>
      <c r="AN95" s="35">
        <f t="shared" si="36"/>
        <v>-9.5124655311810695</v>
      </c>
      <c r="AO95" s="35">
        <f t="shared" si="37"/>
        <v>308.60456821919252</v>
      </c>
      <c r="AP95" s="33"/>
    </row>
    <row r="96" spans="15:42">
      <c r="O96" s="8" t="str">
        <f t="shared" si="31"/>
        <v/>
      </c>
      <c r="P96" s="34" t="s">
        <v>109</v>
      </c>
      <c r="Q96" s="29">
        <v>10</v>
      </c>
      <c r="R96" s="30">
        <v>0.25277777777777777</v>
      </c>
      <c r="S96" s="30">
        <v>0.25416666666666665</v>
      </c>
      <c r="T96" s="30">
        <v>0.36249999999999999</v>
      </c>
      <c r="U96" s="30">
        <v>0.47013888888888888</v>
      </c>
      <c r="V96" s="30">
        <v>0.47152777777777777</v>
      </c>
      <c r="W96" s="35">
        <v>302.5</v>
      </c>
      <c r="X96" s="35">
        <v>15.175000000000001</v>
      </c>
      <c r="Y96" s="35">
        <v>-17.73</v>
      </c>
      <c r="Z96" s="35">
        <v>3.4430000000000001</v>
      </c>
      <c r="AA96" s="35">
        <f t="shared" si="38"/>
        <v>-77.560000000000016</v>
      </c>
      <c r="AB96" s="35">
        <f t="shared" si="41"/>
        <v>-77.060000000000016</v>
      </c>
      <c r="AC96" s="35">
        <f t="shared" si="39"/>
        <v>-38.060000000000024</v>
      </c>
      <c r="AD96" s="35">
        <f t="shared" si="42"/>
        <v>0.68999999999998174</v>
      </c>
      <c r="AE96" s="35">
        <f t="shared" si="40"/>
        <v>1.18999999999998</v>
      </c>
      <c r="AF96" s="35">
        <f t="shared" si="32"/>
        <v>-4.5510045195689228</v>
      </c>
      <c r="AG96" s="35">
        <f t="shared" si="33"/>
        <v>111.07964778827427</v>
      </c>
      <c r="AH96" s="35">
        <f t="shared" si="43"/>
        <v>-4.2299473031278199</v>
      </c>
      <c r="AI96" s="35">
        <f t="shared" si="28"/>
        <v>111.43244656948123</v>
      </c>
      <c r="AJ96" s="35">
        <f t="shared" si="34"/>
        <v>17.217600633546049</v>
      </c>
      <c r="AK96" s="35">
        <f t="shared" si="35"/>
        <v>142.06600958412656</v>
      </c>
      <c r="AL96" s="35">
        <f t="shared" si="44"/>
        <v>25.816971071911805</v>
      </c>
      <c r="AM96" s="35">
        <f t="shared" si="45"/>
        <v>180.73009978384908</v>
      </c>
      <c r="AN96" s="35">
        <f t="shared" si="36"/>
        <v>25.810991274018118</v>
      </c>
      <c r="AO96" s="35">
        <f t="shared" si="37"/>
        <v>181.25910121023225</v>
      </c>
      <c r="AP96" s="33"/>
    </row>
    <row r="97" spans="15:42">
      <c r="O97" s="8" t="str">
        <f t="shared" si="31"/>
        <v/>
      </c>
      <c r="P97" s="34" t="s">
        <v>110</v>
      </c>
      <c r="Q97" s="29">
        <v>9</v>
      </c>
      <c r="R97" s="30">
        <v>0.84305555555555556</v>
      </c>
      <c r="S97" s="30">
        <v>0.84583333333333333</v>
      </c>
      <c r="T97" s="30">
        <v>0.98472222222222217</v>
      </c>
      <c r="U97" s="30">
        <v>0.12291666666666667</v>
      </c>
      <c r="V97" s="30">
        <v>0.12569444444444444</v>
      </c>
      <c r="W97" s="35">
        <v>499.5</v>
      </c>
      <c r="X97" s="35">
        <v>3.3759999999999999</v>
      </c>
      <c r="Y97" s="35">
        <v>18.5</v>
      </c>
      <c r="Z97" s="35">
        <v>15.430999999999999</v>
      </c>
      <c r="AA97" s="35">
        <f t="shared" si="38"/>
        <v>491.745</v>
      </c>
      <c r="AB97" s="35">
        <f t="shared" si="41"/>
        <v>492.74499999999995</v>
      </c>
      <c r="AC97" s="35">
        <f t="shared" si="39"/>
        <v>542.745</v>
      </c>
      <c r="AD97" s="35">
        <f t="shared" si="42"/>
        <v>232.49499999999995</v>
      </c>
      <c r="AE97" s="35">
        <f t="shared" si="40"/>
        <v>233.49499999999995</v>
      </c>
      <c r="AF97" s="35">
        <f t="shared" si="32"/>
        <v>-11.832966425870088</v>
      </c>
      <c r="AG97" s="35">
        <f t="shared" si="33"/>
        <v>313.70379749222167</v>
      </c>
      <c r="AH97" s="35">
        <f t="shared" si="43"/>
        <v>-12.3275995419148</v>
      </c>
      <c r="AI97" s="35">
        <f t="shared" si="28"/>
        <v>314.53123053162392</v>
      </c>
      <c r="AJ97" s="35">
        <f t="shared" si="34"/>
        <v>-25.002593912126635</v>
      </c>
      <c r="AK97" s="35">
        <f t="shared" si="35"/>
        <v>2.8724215395329149</v>
      </c>
      <c r="AL97" s="35">
        <f t="shared" si="44"/>
        <v>-9.6614197715011922</v>
      </c>
      <c r="AM97" s="35">
        <f t="shared" si="45"/>
        <v>49.74082973512629</v>
      </c>
      <c r="AN97" s="35">
        <f t="shared" si="36"/>
        <v>-9.1325469404984734</v>
      </c>
      <c r="AO97" s="35">
        <f t="shared" si="37"/>
        <v>50.538692089258319</v>
      </c>
      <c r="AP97" s="33"/>
    </row>
    <row r="98" spans="15:42">
      <c r="O98" s="8" t="str">
        <f t="shared" si="31"/>
        <v/>
      </c>
      <c r="P98" s="34" t="s">
        <v>111</v>
      </c>
      <c r="Q98" s="29">
        <v>8</v>
      </c>
      <c r="R98" s="30">
        <v>0.9868055555555556</v>
      </c>
      <c r="S98" s="30">
        <v>0.9868055555555556</v>
      </c>
      <c r="T98" s="30">
        <v>9.8611111111111108E-2</v>
      </c>
      <c r="U98" s="30">
        <v>0.20972222222222223</v>
      </c>
      <c r="V98" s="30">
        <v>0.20972222222222223</v>
      </c>
      <c r="W98" s="35">
        <v>197.9</v>
      </c>
      <c r="X98" s="35">
        <v>15.35</v>
      </c>
      <c r="Y98" s="35">
        <v>-18.41</v>
      </c>
      <c r="Z98" s="35">
        <v>3.613</v>
      </c>
      <c r="AA98" s="35">
        <f t="shared" si="38"/>
        <v>186.61499999999998</v>
      </c>
      <c r="AB98" s="35">
        <f t="shared" si="41"/>
        <v>186.61499999999998</v>
      </c>
      <c r="AC98" s="35">
        <f t="shared" si="39"/>
        <v>-133.13500000000002</v>
      </c>
      <c r="AD98" s="35">
        <f t="shared" si="42"/>
        <v>-93.135000000000005</v>
      </c>
      <c r="AE98" s="35">
        <f t="shared" si="40"/>
        <v>-93.135000000000005</v>
      </c>
      <c r="AF98" s="35">
        <f t="shared" si="32"/>
        <v>-61.434078682491631</v>
      </c>
      <c r="AG98" s="35">
        <f t="shared" si="33"/>
        <v>13.213672345283912</v>
      </c>
      <c r="AH98" s="35">
        <f t="shared" si="43"/>
        <v>-61.434078682491631</v>
      </c>
      <c r="AI98" s="35">
        <f t="shared" si="28"/>
        <v>13.213672345283912</v>
      </c>
      <c r="AJ98" s="35">
        <f t="shared" si="34"/>
        <v>-42.520898949610952</v>
      </c>
      <c r="AK98" s="35">
        <f t="shared" si="35"/>
        <v>69.957905653319813</v>
      </c>
      <c r="AL98" s="35">
        <f t="shared" si="44"/>
        <v>-15.345889416332827</v>
      </c>
      <c r="AM98" s="35">
        <f t="shared" si="45"/>
        <v>100.75666662881861</v>
      </c>
      <c r="AN98" s="35">
        <f t="shared" si="36"/>
        <v>-15.345889416332827</v>
      </c>
      <c r="AO98" s="35">
        <f t="shared" si="37"/>
        <v>100.75666662881861</v>
      </c>
      <c r="AP98" s="33"/>
    </row>
    <row r="99" spans="15:42">
      <c r="O99" s="8" t="str">
        <f t="shared" si="31"/>
        <v/>
      </c>
      <c r="P99" s="34" t="s">
        <v>112</v>
      </c>
      <c r="Q99" s="29">
        <v>6</v>
      </c>
      <c r="R99" s="30">
        <v>0.75208333333333333</v>
      </c>
      <c r="S99" s="30">
        <v>0.75416666666666676</v>
      </c>
      <c r="T99" s="30">
        <v>0.83263888888888893</v>
      </c>
      <c r="U99" s="30">
        <v>0.91111111111111109</v>
      </c>
      <c r="V99" s="30">
        <v>0.91249999999999998</v>
      </c>
      <c r="W99" s="35">
        <v>694.6</v>
      </c>
      <c r="X99" s="35">
        <v>15.528</v>
      </c>
      <c r="Y99" s="35">
        <v>-19.04</v>
      </c>
      <c r="Z99" s="35">
        <v>3.7829999999999999</v>
      </c>
      <c r="AA99" s="35">
        <f t="shared" si="38"/>
        <v>101.99500000000002</v>
      </c>
      <c r="AB99" s="35">
        <f t="shared" si="41"/>
        <v>102.74500000000003</v>
      </c>
      <c r="AC99" s="35">
        <f t="shared" si="39"/>
        <v>130.99500000000003</v>
      </c>
      <c r="AD99" s="35">
        <f t="shared" si="42"/>
        <v>159.245</v>
      </c>
      <c r="AE99" s="35">
        <f t="shared" si="40"/>
        <v>159.74499999999998</v>
      </c>
      <c r="AF99" s="35">
        <f t="shared" si="32"/>
        <v>-21.826513324613703</v>
      </c>
      <c r="AG99" s="35">
        <f t="shared" si="33"/>
        <v>264.90874241479492</v>
      </c>
      <c r="AH99" s="35">
        <f t="shared" si="43"/>
        <v>-22.341418222339044</v>
      </c>
      <c r="AI99" s="35">
        <f>IF(SIN($Z$102*AC99)&lt;0,ACOS((SIN($Z$102*$Y99)-SIN($Z$102*AH99)*SIN($Z$102*$C$12))/(COS($Z$102*AH99)*COS($Z$102*$C$12)))/$Z$102,360-ACOS((SIN($Z$102*$Y99)-SIN($Z$102*AH99)*SIN($Z$102*$C$12))/(COS($Z$102*AH99)*COS($Z$102*$C$12)))/$Z$102)</f>
        <v>265.43467919930322</v>
      </c>
      <c r="AJ99" s="35">
        <f t="shared" si="34"/>
        <v>-41.581568447502839</v>
      </c>
      <c r="AK99" s="35">
        <f t="shared" si="35"/>
        <v>287.47885533935664</v>
      </c>
      <c r="AL99" s="35">
        <f t="shared" si="44"/>
        <v>-57.722208736679519</v>
      </c>
      <c r="AM99" s="35">
        <f t="shared" si="45"/>
        <v>321.14995437900217</v>
      </c>
      <c r="AN99" s="35">
        <f t="shared" si="36"/>
        <v>-57.936448034633081</v>
      </c>
      <c r="AO99" s="35">
        <f t="shared" si="37"/>
        <v>321.94122445201634</v>
      </c>
      <c r="AP99" s="33"/>
    </row>
    <row r="100" spans="15:42">
      <c r="AP100" s="33"/>
    </row>
    <row r="101" spans="15:42">
      <c r="AO101" s="33"/>
      <c r="AP101" s="33"/>
    </row>
    <row r="102" spans="15:42">
      <c r="Y102" s="43" t="s">
        <v>114</v>
      </c>
      <c r="Z102" s="43">
        <f>PI()/180</f>
        <v>1.7453292519943295E-2</v>
      </c>
    </row>
    <row r="103" spans="15:42">
      <c r="Y103" s="43" t="s">
        <v>115</v>
      </c>
      <c r="Z103" s="43">
        <f>180/PI()</f>
        <v>57.295779513082323</v>
      </c>
    </row>
    <row r="109" spans="15:42">
      <c r="R109" s="27"/>
    </row>
    <row r="110" spans="15:42">
      <c r="R110" s="27"/>
    </row>
    <row r="111" spans="15:42">
      <c r="R111" s="27"/>
    </row>
    <row r="112" spans="15:42">
      <c r="R112" s="27"/>
    </row>
    <row r="113" spans="18:18">
      <c r="R113" s="27"/>
    </row>
    <row r="114" spans="18:18">
      <c r="R114" s="27"/>
    </row>
    <row r="115" spans="18:18">
      <c r="R115" s="27"/>
    </row>
    <row r="116" spans="18:18">
      <c r="R116" s="27"/>
    </row>
    <row r="117" spans="18:18">
      <c r="R117" s="27"/>
    </row>
    <row r="118" spans="18:18">
      <c r="R118" s="27"/>
    </row>
    <row r="119" spans="18:18">
      <c r="R119" s="27"/>
    </row>
    <row r="120" spans="18:18">
      <c r="R120" s="27"/>
    </row>
  </sheetData>
  <sheetProtection sheet="1" objects="1" scenarios="1"/>
  <mergeCells count="10">
    <mergeCell ref="B25:D25"/>
    <mergeCell ref="AN4:AO4"/>
    <mergeCell ref="AA5:AE5"/>
    <mergeCell ref="B4:C4"/>
    <mergeCell ref="P4:Z4"/>
    <mergeCell ref="B16:D16"/>
    <mergeCell ref="AF4:AG4"/>
    <mergeCell ref="AH4:AI4"/>
    <mergeCell ref="AJ4:AK4"/>
    <mergeCell ref="AL4:AM4"/>
  </mergeCells>
  <conditionalFormatting sqref="C27:D31">
    <cfRule type="expression" dxfId="0" priority="6">
      <formula>$E27="(partial)"</formula>
    </cfRule>
    <cfRule type="expression" dxfId="3" priority="7" stopIfTrue="1">
      <formula>$C27&gt;=0</formula>
    </cfRule>
    <cfRule type="expression" dxfId="2" priority="8" stopIfTrue="1">
      <formula>$C27&lt;0</formula>
    </cfRule>
  </conditionalFormatting>
  <conditionalFormatting sqref="P6:P99">
    <cfRule type="expression" dxfId="1" priority="5" stopIfTrue="1">
      <formula>$O6="*"</formula>
    </cfRule>
  </conditionalFormatting>
  <dataValidations disablePrompts="1" count="2">
    <dataValidation type="list" allowBlank="1" showInputMessage="1" showErrorMessage="1" sqref="C11" xr:uid="{5F29E175-521D-D340-BD1E-008479FCA515}">
      <formula1>$B$18:$B$22</formula1>
    </dataValidation>
    <dataValidation type="list" allowBlank="1" showInputMessage="1" showErrorMessage="1" sqref="C6" xr:uid="{978AF965-24A0-C448-B88B-E9589DB20CA1}">
      <formula1>$P$6:$P$99</formula1>
    </dataValidation>
  </dataValidations>
  <hyperlinks>
    <hyperlink ref="D40" r:id="rId1" display="http://sunearth.gsfc.nasa.gov/eclipse/transit/catalog/Tcatkey.html" xr:uid="{4B2CD178-30B2-E846-B84E-3ADF8FC29514}"/>
    <hyperlink ref="P2" r:id="rId2" display="Source" xr:uid="{25A5B423-E4A7-364E-936C-1F896A20BCB6}"/>
  </hyperlinks>
  <pageMargins left="0.75" right="0.75" top="1" bottom="1" header="0.5" footer="0.5"/>
  <pageSetup paperSize="0" scale="20" orientation="portrait" horizontalDpi="4294967292" verticalDpi="429496729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4013-D019-E841-9729-36264B4CE63B}">
  <dimension ref="A1:A61"/>
  <sheetViews>
    <sheetView showGridLines="0" workbookViewId="0">
      <selection activeCell="E53" sqref="E53"/>
    </sheetView>
  </sheetViews>
  <sheetFormatPr baseColWidth="10" defaultRowHeight="13"/>
  <sheetData>
    <row r="1" ht="16" customHeight="1"/>
    <row r="2" ht="16" customHeight="1"/>
    <row r="3" ht="16" customHeight="1"/>
    <row r="4" ht="16" customHeight="1"/>
    <row r="5" ht="16" customHeight="1"/>
    <row r="6" ht="16" customHeight="1"/>
    <row r="7" ht="16" customHeight="1"/>
    <row r="8" ht="16" customHeight="1"/>
    <row r="9" ht="16" customHeight="1"/>
    <row r="10" ht="16" customHeight="1"/>
    <row r="11" ht="16" customHeight="1"/>
    <row r="12" ht="16" customHeight="1"/>
    <row r="13" ht="16" customHeight="1"/>
    <row r="14" ht="16" customHeight="1"/>
    <row r="15" ht="16" customHeight="1"/>
    <row r="16" ht="16" customHeight="1"/>
    <row r="17" ht="16" customHeight="1"/>
    <row r="18" ht="16" customHeight="1"/>
    <row r="19" ht="16" customHeight="1"/>
    <row r="20" ht="16" customHeight="1"/>
    <row r="21" ht="16" customHeight="1"/>
    <row r="22" ht="16" customHeight="1"/>
    <row r="23" ht="16" customHeight="1"/>
    <row r="24" ht="16" customHeight="1"/>
    <row r="25" ht="16" customHeight="1"/>
    <row r="26" ht="16" customHeight="1"/>
    <row r="27" ht="16" customHeight="1"/>
    <row r="28" ht="16" customHeight="1"/>
    <row r="29" ht="16" customHeight="1"/>
    <row r="30" ht="16" customHeight="1"/>
    <row r="31" ht="16" customHeight="1"/>
    <row r="32" ht="16" customHeight="1"/>
    <row r="33" ht="16" customHeight="1"/>
    <row r="34" ht="16" customHeight="1"/>
    <row r="35" ht="16" customHeight="1"/>
    <row r="36" ht="16" customHeight="1"/>
    <row r="37" ht="16" customHeight="1"/>
    <row r="38" ht="16" customHeight="1"/>
    <row r="39" ht="16" customHeight="1"/>
    <row r="40" ht="16" customHeight="1"/>
    <row r="41" ht="16" customHeight="1"/>
    <row r="42" ht="16" customHeight="1"/>
    <row r="43" ht="16" customHeight="1"/>
    <row r="44" ht="16" customHeight="1"/>
    <row r="45" ht="16" customHeight="1"/>
    <row r="46" ht="16" customHeight="1"/>
    <row r="47" ht="16" customHeight="1"/>
    <row r="48"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Mercury</vt:lpstr>
      <vt:lpstr>Background</vt:lpstr>
    </vt:vector>
  </TitlesOfParts>
  <Manager/>
  <Company>Astronomy Morsels</Company>
  <LinksUpToDate>false</LinksUpToDate>
  <SharedDoc>false</SharedDoc>
  <HyperlinkBase>www.astronomy-morsels.ch</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Mercury Transits</dc:title>
  <dc:subject/>
  <dc:creator>Anton Viola</dc:creator>
  <cp:keywords/>
  <dc:description/>
  <cp:lastModifiedBy>Anton Viola</cp:lastModifiedBy>
  <cp:lastPrinted>2003-03-13T22:13:00Z</cp:lastPrinted>
  <dcterms:created xsi:type="dcterms:W3CDTF">2003-02-24T20:51:14Z</dcterms:created>
  <dcterms:modified xsi:type="dcterms:W3CDTF">2024-05-25T18:30:17Z</dcterms:modified>
  <cp:category/>
</cp:coreProperties>
</file>