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B59C7A87-F0E5-8C49-B0C4-8E4C4F921774}" xr6:coauthVersionLast="47" xr6:coauthVersionMax="47" xr10:uidLastSave="{00000000-0000-0000-0000-000000000000}"/>
  <bookViews>
    <workbookView xWindow="5900" yWindow="4060" windowWidth="31200" windowHeight="16300" xr2:uid="{00000000-000D-0000-FFFF-FFFF00000000}"/>
  </bookViews>
  <sheets>
    <sheet name="Introduction" sheetId="9" r:id="rId1"/>
    <sheet name="Equinoxes, Solstices" sheetId="17" r:id="rId2"/>
    <sheet name="Background" sheetId="1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" i="17" l="1"/>
  <c r="C16" i="17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37" i="17" s="1"/>
  <c r="D38" i="17" s="1"/>
  <c r="D39" i="17" s="1"/>
  <c r="D40" i="17" s="1"/>
  <c r="D41" i="17" s="1"/>
  <c r="D42" i="17" s="1"/>
  <c r="B13" i="17"/>
  <c r="D43" i="17" l="1"/>
  <c r="E15" i="17"/>
  <c r="S6" i="17"/>
  <c r="S7" i="17"/>
  <c r="V10" i="17" s="1"/>
  <c r="V11" i="17" l="1"/>
  <c r="V12" i="17" s="1"/>
  <c r="V13" i="17" s="1"/>
  <c r="AH27" i="17"/>
  <c r="AH11" i="17"/>
  <c r="AH20" i="17"/>
  <c r="AH31" i="17"/>
  <c r="AH19" i="17"/>
  <c r="AH10" i="17"/>
  <c r="S10" i="17"/>
  <c r="T10" i="17"/>
  <c r="U10" i="17"/>
  <c r="AH28" i="17" l="1"/>
  <c r="AH23" i="17"/>
  <c r="AH12" i="17"/>
  <c r="AH32" i="17"/>
  <c r="AH18" i="17"/>
  <c r="AH26" i="17"/>
  <c r="AH15" i="17"/>
  <c r="AH16" i="17"/>
  <c r="AH14" i="17"/>
  <c r="AH22" i="17"/>
  <c r="AH30" i="17"/>
  <c r="AH24" i="17"/>
  <c r="AH21" i="17"/>
  <c r="AH25" i="17"/>
  <c r="AH29" i="17"/>
  <c r="AH33" i="17"/>
  <c r="AH17" i="17"/>
  <c r="AH13" i="17"/>
  <c r="U11" i="17"/>
  <c r="T11" i="17"/>
  <c r="S11" i="17"/>
  <c r="AE10" i="17" l="1"/>
  <c r="AE11" i="17"/>
  <c r="AE26" i="17"/>
  <c r="AE20" i="17"/>
  <c r="AE27" i="17"/>
  <c r="AE21" i="17"/>
  <c r="AE28" i="17"/>
  <c r="AE22" i="17"/>
  <c r="AE13" i="17"/>
  <c r="AE23" i="17"/>
  <c r="AE29" i="17"/>
  <c r="AE24" i="17"/>
  <c r="AE14" i="17"/>
  <c r="AE25" i="17"/>
  <c r="AE30" i="17"/>
  <c r="AE12" i="17"/>
  <c r="AE15" i="17"/>
  <c r="AE31" i="17"/>
  <c r="AE16" i="17"/>
  <c r="AE32" i="17"/>
  <c r="AE17" i="17"/>
  <c r="AE33" i="17"/>
  <c r="AE18" i="17"/>
  <c r="AE19" i="17"/>
  <c r="AH34" i="17"/>
  <c r="V14" i="17" s="1"/>
  <c r="V15" i="17" s="1"/>
  <c r="V59" i="17" s="1"/>
  <c r="T12" i="17"/>
  <c r="T13" i="17" s="1"/>
  <c r="AF24" i="17"/>
  <c r="AF13" i="17"/>
  <c r="AF33" i="17"/>
  <c r="AF28" i="17"/>
  <c r="AF21" i="17"/>
  <c r="AF12" i="17"/>
  <c r="AF17" i="17"/>
  <c r="AF20" i="17"/>
  <c r="AF29" i="17"/>
  <c r="AF16" i="17"/>
  <c r="AF32" i="17"/>
  <c r="AF25" i="17"/>
  <c r="AF30" i="17"/>
  <c r="AF26" i="17"/>
  <c r="AF22" i="17"/>
  <c r="AF18" i="17"/>
  <c r="AF14" i="17"/>
  <c r="AF27" i="17"/>
  <c r="AF31" i="17"/>
  <c r="AF11" i="17"/>
  <c r="AF15" i="17"/>
  <c r="AF10" i="17"/>
  <c r="AF19" i="17"/>
  <c r="AF23" i="17"/>
  <c r="U12" i="17"/>
  <c r="U13" i="17" s="1"/>
  <c r="AG33" i="17"/>
  <c r="AG28" i="17"/>
  <c r="AG17" i="17"/>
  <c r="AG24" i="17"/>
  <c r="AG21" i="17"/>
  <c r="AG20" i="17"/>
  <c r="AG32" i="17"/>
  <c r="AG29" i="17"/>
  <c r="AG16" i="17"/>
  <c r="AG25" i="17"/>
  <c r="AG19" i="17"/>
  <c r="AG13" i="17"/>
  <c r="AG12" i="17"/>
  <c r="AG23" i="17"/>
  <c r="AG31" i="17"/>
  <c r="AG15" i="17"/>
  <c r="AG30" i="17"/>
  <c r="AG26" i="17"/>
  <c r="AG22" i="17"/>
  <c r="AG27" i="17"/>
  <c r="AG18" i="17"/>
  <c r="AG11" i="17"/>
  <c r="AG14" i="17"/>
  <c r="AG10" i="17"/>
  <c r="S12" i="17"/>
  <c r="S13" i="17" s="1"/>
  <c r="AE34" i="17" l="1"/>
  <c r="S14" i="17" s="1"/>
  <c r="S15" i="17" s="1"/>
  <c r="V16" i="17"/>
  <c r="V23" i="17" s="1"/>
  <c r="V24" i="17" s="1"/>
  <c r="V25" i="17" s="1"/>
  <c r="V26" i="17" s="1"/>
  <c r="V19" i="17" s="1"/>
  <c r="V22" i="17"/>
  <c r="V20" i="17"/>
  <c r="AG34" i="17"/>
  <c r="U14" i="17" s="1"/>
  <c r="U15" i="17" s="1"/>
  <c r="AF34" i="17"/>
  <c r="T14" i="17" s="1"/>
  <c r="T15" i="17" s="1"/>
  <c r="V18" i="17" l="1"/>
  <c r="V17" i="17" s="1"/>
  <c r="C10" i="17" s="1"/>
  <c r="V21" i="17"/>
  <c r="D10" i="17" s="1"/>
  <c r="S59" i="17"/>
  <c r="S16" i="17"/>
  <c r="S23" i="17" s="1"/>
  <c r="S24" i="17" s="1"/>
  <c r="S25" i="17" s="1"/>
  <c r="S26" i="17" s="1"/>
  <c r="T59" i="17"/>
  <c r="T16" i="17"/>
  <c r="T23" i="17" s="1"/>
  <c r="T24" i="17" s="1"/>
  <c r="T25" i="17" s="1"/>
  <c r="T26" i="17" s="1"/>
  <c r="U59" i="17"/>
  <c r="U16" i="17"/>
  <c r="U23" i="17" s="1"/>
  <c r="U24" i="17" s="1"/>
  <c r="U25" i="17" s="1"/>
  <c r="U26" i="17" s="1"/>
  <c r="U19" i="17" l="1"/>
  <c r="U18" i="17"/>
  <c r="U17" i="17" s="1"/>
  <c r="U22" i="17"/>
  <c r="U20" i="17"/>
  <c r="T19" i="17"/>
  <c r="T18" i="17"/>
  <c r="T17" i="17" s="1"/>
  <c r="T22" i="17"/>
  <c r="T20" i="17"/>
  <c r="S19" i="17"/>
  <c r="S18" i="17"/>
  <c r="S17" i="17" s="1"/>
  <c r="S22" i="17"/>
  <c r="S20" i="17"/>
  <c r="C9" i="17" l="1"/>
  <c r="C8" i="17"/>
  <c r="C7" i="17"/>
  <c r="S21" i="17"/>
  <c r="D7" i="17" s="1"/>
  <c r="T21" i="17"/>
  <c r="D8" i="17" s="1"/>
  <c r="U21" i="17"/>
  <c r="D9" i="17" s="1"/>
  <c r="E7" i="17" l="1"/>
  <c r="E10" i="17"/>
  <c r="E8" i="17"/>
  <c r="E9" i="17"/>
  <c r="E16" i="17"/>
  <c r="E17" i="17" s="1"/>
  <c r="E18" i="17" s="1"/>
  <c r="E19" i="17" s="1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F15" i="17" s="1"/>
  <c r="F16" i="17" s="1"/>
  <c r="F17" i="17" s="1"/>
  <c r="F18" i="17" s="1"/>
  <c r="F19" i="17" s="1"/>
  <c r="F20" i="17" s="1"/>
  <c r="F21" i="17" s="1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F33" i="17" s="1"/>
  <c r="F34" i="17" s="1"/>
  <c r="F35" i="17" s="1"/>
  <c r="F36" i="17" s="1"/>
  <c r="F37" i="17" s="1"/>
  <c r="F38" i="17" s="1"/>
  <c r="F39" i="17" s="1"/>
  <c r="F40" i="17" s="1"/>
  <c r="F41" i="17" s="1"/>
  <c r="F42" i="17" s="1"/>
  <c r="F43" i="17" s="1"/>
  <c r="F4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I15" i="17" s="1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J15" i="17" s="1"/>
  <c r="J16" i="17" s="1"/>
  <c r="J17" i="17" s="1"/>
  <c r="J18" i="17" s="1"/>
  <c r="J19" i="17" s="1"/>
  <c r="J20" i="17" s="1"/>
  <c r="J21" i="17" s="1"/>
  <c r="J22" i="17" s="1"/>
  <c r="J23" i="17" s="1"/>
  <c r="J24" i="17" s="1"/>
  <c r="J25" i="17" s="1"/>
  <c r="J26" i="17" s="1"/>
  <c r="J27" i="17" s="1"/>
  <c r="J28" i="17" s="1"/>
  <c r="J29" i="17" s="1"/>
  <c r="J30" i="17" s="1"/>
  <c r="J31" i="17" s="1"/>
  <c r="J32" i="17" s="1"/>
  <c r="J33" i="17" s="1"/>
  <c r="J34" i="17" s="1"/>
  <c r="J35" i="17" s="1"/>
  <c r="J36" i="17" s="1"/>
  <c r="J37" i="17" s="1"/>
  <c r="J38" i="17" s="1"/>
  <c r="J39" i="17" s="1"/>
  <c r="J40" i="17" s="1"/>
  <c r="J41" i="17" s="1"/>
  <c r="J42" i="17" s="1"/>
  <c r="J43" i="17" s="1"/>
  <c r="J44" i="17" s="1"/>
  <c r="J45" i="17" s="1"/>
  <c r="K15" i="17" s="1"/>
  <c r="K16" i="17" s="1"/>
  <c r="K17" i="17" s="1"/>
  <c r="K18" i="17" s="1"/>
  <c r="K19" i="17" s="1"/>
  <c r="K20" i="17" s="1"/>
  <c r="K21" i="17" s="1"/>
  <c r="K22" i="17" s="1"/>
  <c r="K23" i="17" s="1"/>
  <c r="K24" i="17" s="1"/>
  <c r="K25" i="17" s="1"/>
  <c r="K26" i="17" s="1"/>
  <c r="K27" i="17" s="1"/>
  <c r="K28" i="17" s="1"/>
  <c r="K29" i="17" s="1"/>
  <c r="K30" i="17" s="1"/>
  <c r="K31" i="17" s="1"/>
  <c r="K32" i="17" s="1"/>
  <c r="K33" i="17" s="1"/>
  <c r="K34" i="17" s="1"/>
  <c r="K35" i="17" s="1"/>
  <c r="K36" i="17" s="1"/>
  <c r="K37" i="17" s="1"/>
  <c r="K38" i="17" s="1"/>
  <c r="K39" i="17" s="1"/>
  <c r="K40" i="17" s="1"/>
  <c r="K41" i="17" s="1"/>
  <c r="K42" i="17" s="1"/>
  <c r="K43" i="17" s="1"/>
  <c r="K44" i="17" s="1"/>
  <c r="L15" i="17" s="1"/>
  <c r="L16" i="17" s="1"/>
  <c r="L17" i="17" s="1"/>
  <c r="L18" i="17" s="1"/>
  <c r="L19" i="17" s="1"/>
  <c r="L20" i="17" s="1"/>
  <c r="L21" i="17" s="1"/>
  <c r="L22" i="17" s="1"/>
  <c r="L23" i="17" s="1"/>
  <c r="L24" i="17" s="1"/>
  <c r="L25" i="17" s="1"/>
  <c r="L26" i="17" s="1"/>
  <c r="L27" i="17" s="1"/>
  <c r="L28" i="17" s="1"/>
  <c r="L29" i="17" s="1"/>
  <c r="L30" i="17" s="1"/>
  <c r="L31" i="17" s="1"/>
  <c r="L32" i="17" s="1"/>
  <c r="L33" i="17" s="1"/>
  <c r="L34" i="17" s="1"/>
  <c r="L35" i="17" s="1"/>
  <c r="L36" i="17" s="1"/>
  <c r="L37" i="17" s="1"/>
  <c r="L38" i="17" s="1"/>
  <c r="L39" i="17" s="1"/>
  <c r="L40" i="17" s="1"/>
  <c r="L41" i="17" s="1"/>
  <c r="L42" i="17" s="1"/>
  <c r="L43" i="17" s="1"/>
  <c r="L44" i="17" s="1"/>
  <c r="L45" i="17" s="1"/>
  <c r="M15" i="17" s="1"/>
  <c r="M16" i="17" s="1"/>
  <c r="M17" i="17" s="1"/>
  <c r="M18" i="17" s="1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M29" i="17" s="1"/>
  <c r="M30" i="17" s="1"/>
  <c r="M31" i="17" s="1"/>
  <c r="M32" i="17" s="1"/>
  <c r="M33" i="17" s="1"/>
  <c r="M34" i="17" s="1"/>
  <c r="M35" i="17" s="1"/>
  <c r="M36" i="17" s="1"/>
  <c r="M37" i="17" s="1"/>
  <c r="M38" i="17" s="1"/>
  <c r="M39" i="17" s="1"/>
  <c r="M40" i="17" s="1"/>
  <c r="M41" i="17" s="1"/>
  <c r="M42" i="17" s="1"/>
  <c r="M43" i="17" s="1"/>
  <c r="M4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8" i="17" s="1"/>
  <c r="N29" i="17" s="1"/>
  <c r="N30" i="17" s="1"/>
  <c r="N31" i="17" s="1"/>
  <c r="N32" i="17" s="1"/>
  <c r="N33" i="17" s="1"/>
  <c r="N34" i="17" s="1"/>
  <c r="N35" i="17" s="1"/>
  <c r="N36" i="17" s="1"/>
  <c r="N37" i="17" s="1"/>
  <c r="N38" i="17" s="1"/>
  <c r="N39" i="17" s="1"/>
  <c r="N40" i="17" s="1"/>
  <c r="N41" i="17" s="1"/>
  <c r="N42" i="17" s="1"/>
  <c r="N43" i="17" s="1"/>
  <c r="N44" i="17" s="1"/>
  <c r="N45" i="17" s="1"/>
</calcChain>
</file>

<file path=xl/sharedStrings.xml><?xml version="1.0" encoding="utf-8"?>
<sst xmlns="http://schemas.openxmlformats.org/spreadsheetml/2006/main" count="102" uniqueCount="95">
  <si>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</si>
  <si>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</si>
  <si>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</si>
  <si>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</si>
  <si>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</si>
  <si>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Date</t>
  </si>
  <si>
    <t>Time</t>
  </si>
  <si>
    <t>e</t>
  </si>
  <si>
    <t>C</t>
  </si>
  <si>
    <t>v</t>
  </si>
  <si>
    <t>P (deg - rad)</t>
  </si>
  <si>
    <t>V1.0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</si>
  <si>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5th May, 2024.</t>
    </r>
  </si>
  <si>
    <t>Reference: Meeus, Astronomical Algorithms, First Edition, pp. 165-170.</t>
  </si>
  <si>
    <t>*</t>
  </si>
  <si>
    <t>Year</t>
  </si>
  <si>
    <t>T</t>
  </si>
  <si>
    <t>W</t>
  </si>
  <si>
    <t>Δ λ</t>
  </si>
  <si>
    <t>S</t>
  </si>
  <si>
    <t>JDE</t>
  </si>
  <si>
    <r>
      <t>JDE</t>
    </r>
    <r>
      <rPr>
        <vertAlign val="subscript"/>
        <sz val="12"/>
        <rFont val="Calibri (Body)"/>
      </rPr>
      <t>0</t>
    </r>
  </si>
  <si>
    <t>March equinox</t>
  </si>
  <si>
    <t>June solstice</t>
  </si>
  <si>
    <t>September equinox</t>
  </si>
  <si>
    <t>Winter solstice</t>
  </si>
  <si>
    <t>Y</t>
  </si>
  <si>
    <t>(valid for years +1000 to +3000)</t>
  </si>
  <si>
    <t>A</t>
  </si>
  <si>
    <t>B</t>
  </si>
  <si>
    <r>
      <t>S</t>
    </r>
    <r>
      <rPr>
        <vertAlign val="subscript"/>
        <sz val="12"/>
        <rFont val="Calibri (Body)"/>
      </rPr>
      <t>1</t>
    </r>
  </si>
  <si>
    <r>
      <t>S</t>
    </r>
    <r>
      <rPr>
        <vertAlign val="subscript"/>
        <sz val="12"/>
        <rFont val="Calibri (Body)"/>
      </rPr>
      <t>2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</si>
  <si>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3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</si>
  <si>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4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</si>
  <si>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5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</si>
  <si>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6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</si>
  <si>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7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</si>
  <si>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8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</si>
  <si>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9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</si>
  <si>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10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</si>
  <si>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11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</si>
  <si>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12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</si>
  <si>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13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</si>
  <si>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14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</si>
  <si>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15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</si>
  <si>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16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</si>
  <si>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17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</si>
  <si>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18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</si>
  <si>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19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</si>
  <si>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20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</si>
  <si>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21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</si>
  <si>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22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</si>
  <si>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23</t>
    </r>
    <r>
      <rPr>
        <sz val="12"/>
        <color theme="1"/>
        <rFont val="Calibri"/>
        <family val="2"/>
        <scheme val="minor"/>
      </rPr>
      <t/>
    </r>
  </si>
  <si>
    <r>
      <t>S</t>
    </r>
    <r>
      <rPr>
        <vertAlign val="subscript"/>
        <sz val="12"/>
        <rFont val="Calibri (Body)"/>
      </rPr>
      <t>24</t>
    </r>
    <r>
      <rPr>
        <sz val="12"/>
        <color theme="1"/>
        <rFont val="Calibri"/>
        <family val="2"/>
        <scheme val="minor"/>
      </rPr>
      <t/>
    </r>
  </si>
  <si>
    <t>Jun-sol</t>
  </si>
  <si>
    <t>Mar-equ</t>
  </si>
  <si>
    <t>Sep-equ</t>
  </si>
  <si>
    <t>Dec-sol</t>
  </si>
  <si>
    <t>Sum</t>
  </si>
  <si>
    <t>JDEcorrected</t>
  </si>
  <si>
    <t>Month</t>
  </si>
  <si>
    <t xml:space="preserve">Day </t>
  </si>
  <si>
    <t>Hour</t>
  </si>
  <si>
    <t>Minute</t>
  </si>
  <si>
    <t>Second</t>
  </si>
  <si>
    <t>f</t>
  </si>
  <si>
    <t>g</t>
  </si>
  <si>
    <t xml:space="preserve">h  </t>
  </si>
  <si>
    <t>j</t>
  </si>
  <si>
    <t>r</t>
  </si>
  <si>
    <t>p</t>
  </si>
  <si>
    <t>u</t>
  </si>
  <si>
    <t>w</t>
  </si>
  <si>
    <t xml:space="preserve">s </t>
  </si>
  <si>
    <t>m</t>
  </si>
  <si>
    <t>n</t>
  </si>
  <si>
    <t>fraction</t>
  </si>
  <si>
    <t>To do (optionally): obtain higher accuracy</t>
  </si>
  <si>
    <t>There are only two times of the year when the Earth's axis is tilted neither toward nor away from the sun, resulting in a "nearly" equal amount of daylight and darkness at all latitudes. These events are referred to as Equinoxes. The summer solstice occurs at the moment the earth's tilt toward/from the sun is at a maximum. The winter solstice marks the shortest day and longest night of the year. This spreadsheet calculates the dates of the equinoxes and solstices for a given year.</t>
  </si>
  <si>
    <t>Day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</si>
  <si>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</si>
  <si>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</si>
  <si>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</si>
  <si>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</si>
  <si>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</si>
  <si>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</si>
  <si>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</si>
  <si>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</si>
  <si>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</si>
  <si>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</si>
  <si>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</si>
  <si>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</si>
  <si>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Leap year?</t>
  </si>
  <si>
    <t>Day number</t>
  </si>
  <si>
    <t>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</si>
</sst>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]dd/mm/yyyy;@" x16r2:formatCode16="[$-en-CH,1]dd/mm/yyyy;@"/>
    <numFmt numFmtId="165" formatCode="#,##0.00000"/>
    <numFmt numFmtId="166" formatCode="#,##0.000"/>
    <numFmt numFmtId="167" formatCode="#,##0.000000"/>
    <numFmt numFmtId="168" formatCode="[$]hh:mm:ss;@" x16r2:formatCode16="[$-en-CH,1]hh:mm:ss;@"/>
  </numFmts>
  <fonts count="2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1"/>
      <color theme="1"/>
      <name val="Calibri"/>
      <family val="2"/>
      <scheme val="minor"/>
    </font>
    <font>
      <sz val="11"/>
      <name val="ＭＳ Ｐゴシック"/>
      <family val="2"/>
      <charset val="128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bscript"/>
      <sz val="12"/>
      <name val="Calibri (Body)"/>
    </font>
    <font>
      <sz val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0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14" fillId="0" borderId="0"/>
    <xf numFmtId="0" fontId="15" fillId="0" borderId="0"/>
    <xf numFmtId="0" fontId="18" fillId="0" borderId="0"/>
  </cellStyleXfs>
  <cellXfs count="72">
    <xf numFmtId="0" fontId="0" fillId="0" borderId="0" xfId="0"/>
    <xf numFmtId="0" fontId="8" fillId="3" borderId="1" xfId="41" applyFont="1" applyFill="1" applyBorder="1" applyAlignment="1">
      <alignment horizontal="left"/>
    </xf>
    <xf numFmtId="0" fontId="8" fillId="3" borderId="2" xfId="41" applyFont="1" applyFill="1" applyBorder="1" applyAlignment="1">
      <alignment horizontal="center"/>
    </xf>
    <xf numFmtId="0" fontId="8" fillId="3" borderId="2" xfId="41" applyFont="1" applyFill="1" applyBorder="1"/>
    <xf numFmtId="0" fontId="10" fillId="3" borderId="3" xfId="42" applyFont="1" applyFill="1" applyBorder="1" applyAlignment="1">
      <alignment horizontal="center"/>
    </xf>
    <xf numFmtId="0" fontId="11" fillId="3" borderId="4" xfId="42" applyFont="1" applyFill="1" applyBorder="1" applyAlignment="1">
      <alignment horizontal="left"/>
    </xf>
    <xf numFmtId="0" fontId="8" fillId="3" borderId="0" xfId="41" applyFont="1" applyFill="1" applyAlignment="1">
      <alignment horizontal="center"/>
    </xf>
    <xf numFmtId="0" fontId="8" fillId="3" borderId="0" xfId="41" applyFont="1" applyFill="1"/>
    <xf numFmtId="0" fontId="8" fillId="3" borderId="5" xfId="41" applyFont="1" applyFill="1" applyBorder="1" applyAlignment="1">
      <alignment horizontal="center"/>
    </xf>
    <xf numFmtId="0" fontId="8" fillId="3" borderId="6" xfId="42" applyFont="1" applyFill="1" applyBorder="1" applyAlignment="1">
      <alignment horizontal="left"/>
    </xf>
    <xf numFmtId="0" fontId="8" fillId="3" borderId="8" xfId="42" applyFont="1" applyFill="1" applyBorder="1" applyAlignment="1">
      <alignment horizontal="left"/>
    </xf>
    <xf numFmtId="0" fontId="8" fillId="3" borderId="8" xfId="41" applyFont="1" applyFill="1" applyBorder="1"/>
    <xf numFmtId="0" fontId="9" fillId="3" borderId="7" xfId="41" applyFont="1" applyFill="1" applyBorder="1" applyAlignment="1">
      <alignment horizontal="center"/>
    </xf>
    <xf numFmtId="0" fontId="16" fillId="0" borderId="0" xfId="44" applyFont="1" applyAlignment="1">
      <alignment vertical="center"/>
    </xf>
    <xf numFmtId="0" fontId="19" fillId="6" borderId="0" xfId="45" applyFont="1" applyFill="1"/>
    <xf numFmtId="0" fontId="16" fillId="0" borderId="0" xfId="44" applyFont="1" applyAlignment="1">
      <alignment horizontal="center" vertical="center"/>
    </xf>
    <xf numFmtId="0" fontId="17" fillId="5" borderId="0" xfId="44" applyFont="1" applyFill="1" applyAlignment="1">
      <alignment horizontal="center" vertical="center"/>
    </xf>
    <xf numFmtId="0" fontId="16" fillId="6" borderId="0" xfId="44" applyFont="1" applyFill="1" applyAlignment="1">
      <alignment vertical="center"/>
    </xf>
    <xf numFmtId="0" fontId="16" fillId="0" borderId="12" xfId="44" applyFont="1" applyBorder="1" applyAlignment="1">
      <alignment vertical="center"/>
    </xf>
    <xf numFmtId="0" fontId="16" fillId="0" borderId="12" xfId="44" applyFont="1" applyBorder="1" applyAlignment="1">
      <alignment horizontal="center" vertical="center"/>
    </xf>
    <xf numFmtId="165" fontId="16" fillId="0" borderId="12" xfId="44" applyNumberFormat="1" applyFont="1" applyBorder="1" applyAlignment="1">
      <alignment horizontal="center" vertical="center"/>
    </xf>
    <xf numFmtId="1" fontId="17" fillId="5" borderId="12" xfId="44" applyNumberFormat="1" applyFont="1" applyFill="1" applyBorder="1" applyAlignment="1" applyProtection="1">
      <alignment horizontal="center" vertical="center"/>
      <protection locked="0"/>
    </xf>
    <xf numFmtId="165" fontId="16" fillId="0" borderId="0" xfId="44" applyNumberFormat="1" applyFont="1" applyAlignment="1">
      <alignment horizontal="center" vertical="center"/>
    </xf>
    <xf numFmtId="165" fontId="16" fillId="4" borderId="12" xfId="44" applyNumberFormat="1" applyFont="1" applyFill="1" applyBorder="1" applyAlignment="1">
      <alignment vertical="center"/>
    </xf>
    <xf numFmtId="0" fontId="16" fillId="4" borderId="12" xfId="44" applyFont="1" applyFill="1" applyBorder="1" applyAlignment="1">
      <alignment horizontal="right" vertical="center"/>
    </xf>
    <xf numFmtId="0" fontId="16" fillId="4" borderId="12" xfId="44" applyFont="1" applyFill="1" applyBorder="1" applyAlignment="1">
      <alignment vertical="center"/>
    </xf>
    <xf numFmtId="4" fontId="16" fillId="4" borderId="12" xfId="44" applyNumberFormat="1" applyFont="1" applyFill="1" applyBorder="1" applyAlignment="1">
      <alignment vertical="center"/>
    </xf>
    <xf numFmtId="166" fontId="16" fillId="4" borderId="12" xfId="44" applyNumberFormat="1" applyFont="1" applyFill="1" applyBorder="1" applyAlignment="1">
      <alignment vertical="center"/>
    </xf>
    <xf numFmtId="1" fontId="16" fillId="4" borderId="12" xfId="44" applyNumberFormat="1" applyFont="1" applyFill="1" applyBorder="1" applyAlignment="1">
      <alignment vertical="center"/>
    </xf>
    <xf numFmtId="167" fontId="16" fillId="4" borderId="12" xfId="44" applyNumberFormat="1" applyFont="1" applyFill="1" applyBorder="1" applyAlignment="1">
      <alignment vertical="center"/>
    </xf>
    <xf numFmtId="164" fontId="16" fillId="2" borderId="12" xfId="44" applyNumberFormat="1" applyFont="1" applyFill="1" applyBorder="1" applyAlignment="1">
      <alignment horizontal="center" vertical="center"/>
    </xf>
    <xf numFmtId="168" fontId="16" fillId="2" borderId="12" xfId="44" applyNumberFormat="1" applyFont="1" applyFill="1" applyBorder="1" applyAlignment="1">
      <alignment horizontal="center" vertical="center"/>
    </xf>
    <xf numFmtId="164" fontId="16" fillId="0" borderId="0" xfId="44" applyNumberFormat="1" applyFont="1" applyAlignment="1">
      <alignment horizontal="center" vertical="center"/>
    </xf>
    <xf numFmtId="168" fontId="16" fillId="0" borderId="0" xfId="44" applyNumberFormat="1" applyFont="1" applyAlignment="1">
      <alignment horizontal="center" vertical="center"/>
    </xf>
    <xf numFmtId="0" fontId="22" fillId="0" borderId="0" xfId="44" applyFont="1" applyAlignment="1">
      <alignment vertical="center"/>
    </xf>
    <xf numFmtId="0" fontId="24" fillId="9" borderId="12" xfId="41" applyFont="1" applyFill="1" applyBorder="1" applyAlignment="1">
      <alignment horizontal="center"/>
    </xf>
    <xf numFmtId="0" fontId="24" fillId="9" borderId="13" xfId="41" applyFont="1" applyFill="1" applyBorder="1" applyAlignment="1">
      <alignment horizontal="center"/>
    </xf>
    <xf numFmtId="0" fontId="24" fillId="9" borderId="14" xfId="41" applyFont="1" applyFill="1" applyBorder="1" applyAlignment="1">
      <alignment horizontal="center"/>
    </xf>
    <xf numFmtId="0" fontId="24" fillId="9" borderId="15" xfId="41" applyFont="1" applyFill="1" applyBorder="1" applyAlignment="1">
      <alignment horizontal="center"/>
    </xf>
    <xf numFmtId="0" fontId="24" fillId="10" borderId="16" xfId="41" applyFont="1" applyFill="1" applyBorder="1" applyAlignment="1">
      <alignment horizontal="center"/>
    </xf>
    <xf numFmtId="0" fontId="25" fillId="10" borderId="17" xfId="41" applyFont="1" applyFill="1" applyBorder="1" applyAlignment="1">
      <alignment horizontal="center"/>
    </xf>
    <xf numFmtId="0" fontId="25" fillId="10" borderId="18" xfId="41" applyFont="1" applyFill="1" applyBorder="1" applyAlignment="1">
      <alignment horizontal="center"/>
    </xf>
    <xf numFmtId="0" fontId="25" fillId="10" borderId="19" xfId="41" applyFont="1" applyFill="1" applyBorder="1" applyAlignment="1">
      <alignment horizontal="center"/>
    </xf>
    <xf numFmtId="0" fontId="24" fillId="10" borderId="20" xfId="41" applyFont="1" applyFill="1" applyBorder="1" applyAlignment="1">
      <alignment horizontal="center"/>
    </xf>
    <xf numFmtId="0" fontId="25" fillId="10" borderId="21" xfId="41" applyFont="1" applyFill="1" applyBorder="1" applyAlignment="1">
      <alignment horizontal="center"/>
    </xf>
    <xf numFmtId="0" fontId="25" fillId="10" borderId="22" xfId="41" applyFont="1" applyFill="1" applyBorder="1" applyAlignment="1">
      <alignment horizontal="center"/>
    </xf>
    <xf numFmtId="0" fontId="25" fillId="10" borderId="23" xfId="41" applyFont="1" applyFill="1" applyBorder="1" applyAlignment="1">
      <alignment horizontal="center"/>
    </xf>
    <xf numFmtId="1" fontId="17" fillId="0" borderId="0" xfId="44" applyNumberFormat="1" applyFont="1" applyAlignment="1" applyProtection="1">
      <alignment horizontal="center" vertical="center"/>
      <protection locked="0"/>
    </xf>
    <xf numFmtId="0" fontId="26" fillId="11" borderId="24" xfId="41" applyFont="1" applyFill="1" applyBorder="1" applyAlignment="1">
      <alignment horizontal="center"/>
    </xf>
    <xf numFmtId="0" fontId="25" fillId="7" borderId="24" xfId="41" applyFont="1" applyFill="1" applyBorder="1" applyAlignment="1">
      <alignment horizontal="center"/>
    </xf>
    <xf numFmtId="0" fontId="16" fillId="0" borderId="24" xfId="44" applyFont="1" applyBorder="1" applyAlignment="1">
      <alignment horizontal="center" vertical="center"/>
    </xf>
    <xf numFmtId="164" fontId="16" fillId="6" borderId="0" xfId="44" applyNumberFormat="1" applyFont="1" applyFill="1" applyAlignment="1">
      <alignment horizontal="center" vertical="center"/>
    </xf>
    <xf numFmtId="168" fontId="16" fillId="6" borderId="0" xfId="44" applyNumberFormat="1" applyFont="1" applyFill="1" applyAlignment="1">
      <alignment horizontal="center" vertical="center"/>
    </xf>
    <xf numFmtId="0" fontId="16" fillId="4" borderId="12" xfId="44" applyFont="1" applyFill="1" applyBorder="1" applyAlignment="1">
      <alignment horizontal="center" vertical="center"/>
    </xf>
    <xf numFmtId="0" fontId="16" fillId="3" borderId="0" xfId="44" applyFont="1" applyFill="1" applyAlignment="1">
      <alignment vertical="center"/>
    </xf>
    <xf numFmtId="0" fontId="16" fillId="3" borderId="0" xfId="44" applyFont="1" applyFill="1" applyAlignment="1">
      <alignment horizontal="center" vertical="center"/>
    </xf>
    <xf numFmtId="0" fontId="7" fillId="3" borderId="0" xfId="41" applyFont="1" applyFill="1" applyAlignment="1">
      <alignment horizontal="center" vertical="center" wrapText="1"/>
    </xf>
    <xf numFmtId="0" fontId="12" fillId="3" borderId="1" xfId="42" applyFont="1" applyFill="1" applyBorder="1" applyAlignment="1">
      <alignment horizontal="center"/>
    </xf>
    <xf numFmtId="0" fontId="12" fillId="3" borderId="2" xfId="42" applyFont="1" applyFill="1" applyBorder="1" applyAlignment="1">
      <alignment horizontal="center"/>
    </xf>
    <xf numFmtId="0" fontId="12" fillId="3" borderId="9" xfId="42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23" fillId="8" borderId="8" xfId="41" applyFont="1" applyFill="1" applyBorder="1" applyAlignment="1">
      <alignment horizontal="center"/>
    </xf>
    <xf numFmtId="0" fontId="16" fillId="4" borderId="25" xfId="44" applyFont="1" applyFill="1" applyBorder="1" applyAlignment="1">
      <alignment horizontal="center" vertical="center"/>
    </xf>
    <xf numFmtId="0" fontId="16" fillId="4" borderId="26" xfId="44" applyFont="1" applyFill="1" applyBorder="1" applyAlignment="1">
      <alignment horizontal="center" vertical="center"/>
    </xf>
    <xf numFmtId="0" fontId="3" fillId="3" borderId="0" xfId="41" applyFill="1"/>
    <xf numFmtId="0" fontId="0" fillId="3" borderId="0" xfId="0" applyFill="1"/>
    <xf numFmtId="0" fontId="2" fillId="3" borderId="0" xfId="41" applyFont="1" applyFill="1"/>
  </cellXfs>
  <cellStyles count="4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4" xr:uid="{48F4CE55-52E5-B741-8787-0CB02C6E3909}"/>
    <cellStyle name="Normal 4" xfId="43" xr:uid="{58AA1869-D9A5-F042-A460-3D15104DE221}"/>
    <cellStyle name="Normal 5" xfId="45" xr:uid="{A67E6128-EE07-AF49-B538-666D4336E675}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44</xdr:row>
      <xdr:rowOff>114300</xdr:rowOff>
    </xdr:from>
    <xdr:to>
      <xdr:col>9</xdr:col>
      <xdr:colOff>215900</xdr:colOff>
      <xdr:row>54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759478</xdr:colOff>
      <xdr:row>16</xdr:row>
      <xdr:rowOff>0</xdr:rowOff>
    </xdr:from>
    <xdr:to>
      <xdr:col>10</xdr:col>
      <xdr:colOff>213185</xdr:colOff>
      <xdr:row>38</xdr:row>
      <xdr:rowOff>38100</xdr:rowOff>
    </xdr:to>
    <xdr:pic>
      <xdr:nvPicPr>
        <xdr:cNvPr id="2" name="Picture 1" descr="Solstices and Equinoxes: What Every Amateur Astronomer Needs to Know |  Celestron">
          <a:extLst>
            <a:ext uri="{FF2B5EF4-FFF2-40B4-BE49-F238E27FC236}">
              <a16:creationId xmlns:a16="http://schemas.microsoft.com/office/drawing/2014/main" id="{A0A7C955-B0FC-E042-6F7E-074CA0E9C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78" y="3352800"/>
          <a:ext cx="6883207" cy="450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54</xdr:row>
      <xdr:rowOff>25400</xdr:rowOff>
    </xdr:from>
    <xdr:to>
      <xdr:col>9</xdr:col>
      <xdr:colOff>368300</xdr:colOff>
      <xdr:row>75</xdr:row>
      <xdr:rowOff>71903</xdr:rowOff>
    </xdr:to>
    <xdr:pic>
      <xdr:nvPicPr>
        <xdr:cNvPr id="5" name="Picture 4" descr="Solstices and equinoxes explained - BBC Sky at Night Magazine">
          <a:extLst>
            <a:ext uri="{FF2B5EF4-FFF2-40B4-BE49-F238E27FC236}">
              <a16:creationId xmlns:a16="http://schemas.microsoft.com/office/drawing/2014/main" id="{D5BC697F-FDF8-CDB8-9A25-83C0E494F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693400"/>
          <a:ext cx="6997700" cy="4047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787400</xdr:colOff>
      <xdr:row>0</xdr:row>
      <xdr:rowOff>152400</xdr:rowOff>
    </xdr:from>
    <xdr:to>
      <xdr:col>9</xdr:col>
      <xdr:colOff>361221</xdr:colOff>
      <xdr:row>51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FAEC2-DB49-4A68-445F-9FB0EB6F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" y="152400"/>
          <a:ext cx="7003321" cy="9626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5"/>
  <sheetViews>
    <sheetView showGridLines="0" tabSelected="1" workbookViewId="0">
      <selection activeCell="B26" sqref="A1:XFD1048576"/>
    </sheetView>
  </sheetViews>
  <sheetFormatPr baseColWidth="10" defaultRowHeight="16"/>
  <cols>
    <col min="1" max="16384" width="10.83203125" style="69"/>
  </cols>
  <sheetData>
    <row r="2" spans="2:11" ht="15" customHeight="1"/>
    <row r="3" spans="2:11" ht="16" customHeight="1">
      <c r="B3" s="56" t="s">
        <v>78</v>
      </c>
      <c r="C3" s="56"/>
      <c r="D3" s="56"/>
      <c r="E3" s="56"/>
      <c r="F3" s="56"/>
      <c r="G3" s="56"/>
      <c r="H3" s="56"/>
      <c r="I3" s="56"/>
      <c r="J3" s="56"/>
      <c r="K3" s="56"/>
    </row>
    <row r="4" spans="2:11" ht="16" customHeight="1"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2:11" ht="16" customHeight="1">
      <c r="B5" s="56"/>
      <c r="C5" s="56"/>
      <c r="D5" s="56"/>
      <c r="E5" s="56"/>
      <c r="F5" s="56"/>
      <c r="G5" s="56"/>
      <c r="H5" s="56"/>
      <c r="I5" s="56"/>
      <c r="J5" s="56"/>
      <c r="K5" s="56"/>
    </row>
    <row r="6" spans="2:11" ht="16" customHeight="1">
      <c r="B6" s="56"/>
      <c r="C6" s="56"/>
      <c r="D6" s="56"/>
      <c r="E6" s="56"/>
      <c r="F6" s="56"/>
      <c r="G6" s="56"/>
      <c r="H6" s="56"/>
      <c r="I6" s="56"/>
      <c r="J6" s="56"/>
      <c r="K6" s="56"/>
    </row>
    <row r="7" spans="2:11" ht="16" customHeight="1">
      <c r="B7" s="56"/>
      <c r="C7" s="56"/>
      <c r="D7" s="56"/>
      <c r="E7" s="56"/>
      <c r="F7" s="56"/>
      <c r="G7" s="56"/>
      <c r="H7" s="56"/>
      <c r="I7" s="56"/>
      <c r="J7" s="56"/>
      <c r="K7" s="56"/>
    </row>
    <row r="8" spans="2:11" ht="16" customHeight="1">
      <c r="B8" s="56"/>
      <c r="C8" s="56"/>
      <c r="D8" s="56"/>
      <c r="E8" s="56"/>
      <c r="F8" s="56"/>
      <c r="G8" s="56"/>
      <c r="H8" s="56"/>
      <c r="I8" s="56"/>
      <c r="J8" s="56"/>
      <c r="K8" s="56"/>
    </row>
    <row r="9" spans="2:11" ht="16" customHeight="1">
      <c r="B9" s="56"/>
      <c r="C9" s="56"/>
      <c r="D9" s="56"/>
      <c r="E9" s="56"/>
      <c r="F9" s="56"/>
      <c r="G9" s="56"/>
      <c r="H9" s="56"/>
      <c r="I9" s="56"/>
      <c r="J9" s="56"/>
      <c r="K9" s="56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12</v>
      </c>
      <c r="E15" s="10"/>
      <c r="F15" s="11"/>
      <c r="G15" s="11"/>
      <c r="H15" s="11"/>
      <c r="I15" s="12" t="s">
        <v>11</v>
      </c>
    </row>
    <row r="25" spans="3:16">
      <c r="C25" s="70"/>
    </row>
    <row r="27" spans="3:16">
      <c r="P27" s="70"/>
    </row>
    <row r="28" spans="3:16">
      <c r="D28" s="70"/>
    </row>
    <row r="39" spans="1:17">
      <c r="A39" s="71" t="s">
        <v>14</v>
      </c>
      <c r="Q39" s="70"/>
    </row>
    <row r="40" spans="1:17">
      <c r="A40" s="70"/>
    </row>
    <row r="41" spans="1:17">
      <c r="B41" s="57" t="s">
        <v>1</v>
      </c>
      <c r="C41" s="58"/>
      <c r="D41" s="58"/>
      <c r="E41" s="58"/>
      <c r="F41" s="58"/>
      <c r="G41" s="58"/>
      <c r="H41" s="58"/>
      <c r="I41" s="58"/>
      <c r="J41" s="58"/>
      <c r="K41" s="59"/>
    </row>
    <row r="42" spans="1:17">
      <c r="B42" s="60" t="s">
        <v>2</v>
      </c>
      <c r="C42" s="61"/>
      <c r="D42" s="61"/>
      <c r="E42" s="61"/>
      <c r="F42" s="61"/>
      <c r="G42" s="61"/>
      <c r="H42" s="61"/>
      <c r="I42" s="61"/>
      <c r="J42" s="61"/>
      <c r="K42" s="62"/>
    </row>
    <row r="43" spans="1:17">
      <c r="B43" s="63" t="s">
        <v>3</v>
      </c>
      <c r="C43" s="64"/>
      <c r="D43" s="64"/>
      <c r="E43" s="64"/>
      <c r="F43" s="64"/>
      <c r="G43" s="64"/>
      <c r="H43" s="64"/>
      <c r="I43" s="64"/>
      <c r="J43" s="64"/>
      <c r="K43" s="65"/>
    </row>
    <row r="45" spans="1:17">
      <c r="Q45" s="70"/>
    </row>
  </sheetData>
  <sheetProtection sheet="1" objects="1" scenarios="1"/>
  <mergeCells count="4">
    <mergeCell ref="B3:K9"/>
    <mergeCell ref="B41:K41"/>
    <mergeCell ref="B42:K42"/>
    <mergeCell ref="B43:K43"/>
  </mergeCells>
  <hyperlinks>
    <hyperlink ref="I13" r:id="rId1" xr:uid="{60E68FAD-CE54-204D-BE8F-AA8992F34899}"/>
    <hyperlink ref="B41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3F69C-B988-6C40-B056-B8439BE51A08}">
  <dimension ref="B2:AK59"/>
  <sheetViews>
    <sheetView showGridLines="0" zoomScaleNormal="100" workbookViewId="0">
      <selection activeCell="A8" sqref="A8"/>
    </sheetView>
  </sheetViews>
  <sheetFormatPr baseColWidth="10" defaultColWidth="9" defaultRowHeight="16"/>
  <cols>
    <col min="1" max="1" width="9" style="13"/>
    <col min="2" max="2" width="18.33203125" style="13" customWidth="1"/>
    <col min="3" max="14" width="13.33203125" style="13" customWidth="1"/>
    <col min="15" max="15" width="9" style="13"/>
    <col min="16" max="16" width="3.33203125" style="54" customWidth="1"/>
    <col min="17" max="17" width="9" style="13"/>
    <col min="18" max="18" width="11.83203125" style="13" customWidth="1"/>
    <col min="19" max="22" width="15.83203125" style="13" customWidth="1"/>
    <col min="23" max="23" width="9" style="13"/>
    <col min="24" max="25" width="15.83203125" style="13" customWidth="1"/>
    <col min="26" max="36" width="9" style="13"/>
    <col min="37" max="37" width="10.83203125" style="13" customWidth="1"/>
    <col min="38" max="203" width="9" style="13"/>
    <col min="204" max="204" width="29.33203125" style="13" customWidth="1"/>
    <col min="205" max="205" width="13.6640625" style="13" customWidth="1"/>
    <col min="206" max="229" width="15.83203125" style="13" customWidth="1"/>
    <col min="230" max="459" width="9" style="13"/>
    <col min="460" max="460" width="29.33203125" style="13" customWidth="1"/>
    <col min="461" max="461" width="13.6640625" style="13" customWidth="1"/>
    <col min="462" max="485" width="15.83203125" style="13" customWidth="1"/>
    <col min="486" max="715" width="9" style="13"/>
    <col min="716" max="716" width="29.33203125" style="13" customWidth="1"/>
    <col min="717" max="717" width="13.6640625" style="13" customWidth="1"/>
    <col min="718" max="741" width="15.83203125" style="13" customWidth="1"/>
    <col min="742" max="971" width="9" style="13"/>
    <col min="972" max="972" width="29.33203125" style="13" customWidth="1"/>
    <col min="973" max="973" width="13.6640625" style="13" customWidth="1"/>
    <col min="974" max="997" width="15.83203125" style="13" customWidth="1"/>
    <col min="998" max="1227" width="9" style="13"/>
    <col min="1228" max="1228" width="29.33203125" style="13" customWidth="1"/>
    <col min="1229" max="1229" width="13.6640625" style="13" customWidth="1"/>
    <col min="1230" max="1253" width="15.83203125" style="13" customWidth="1"/>
    <col min="1254" max="1483" width="9" style="13"/>
    <col min="1484" max="1484" width="29.33203125" style="13" customWidth="1"/>
    <col min="1485" max="1485" width="13.6640625" style="13" customWidth="1"/>
    <col min="1486" max="1509" width="15.83203125" style="13" customWidth="1"/>
    <col min="1510" max="1739" width="9" style="13"/>
    <col min="1740" max="1740" width="29.33203125" style="13" customWidth="1"/>
    <col min="1741" max="1741" width="13.6640625" style="13" customWidth="1"/>
    <col min="1742" max="1765" width="15.83203125" style="13" customWidth="1"/>
    <col min="1766" max="1995" width="9" style="13"/>
    <col min="1996" max="1996" width="29.33203125" style="13" customWidth="1"/>
    <col min="1997" max="1997" width="13.6640625" style="13" customWidth="1"/>
    <col min="1998" max="2021" width="15.83203125" style="13" customWidth="1"/>
    <col min="2022" max="2251" width="9" style="13"/>
    <col min="2252" max="2252" width="29.33203125" style="13" customWidth="1"/>
    <col min="2253" max="2253" width="13.6640625" style="13" customWidth="1"/>
    <col min="2254" max="2277" width="15.83203125" style="13" customWidth="1"/>
    <col min="2278" max="2507" width="9" style="13"/>
    <col min="2508" max="2508" width="29.33203125" style="13" customWidth="1"/>
    <col min="2509" max="2509" width="13.6640625" style="13" customWidth="1"/>
    <col min="2510" max="2533" width="15.83203125" style="13" customWidth="1"/>
    <col min="2534" max="2763" width="9" style="13"/>
    <col min="2764" max="2764" width="29.33203125" style="13" customWidth="1"/>
    <col min="2765" max="2765" width="13.6640625" style="13" customWidth="1"/>
    <col min="2766" max="2789" width="15.83203125" style="13" customWidth="1"/>
    <col min="2790" max="3019" width="9" style="13"/>
    <col min="3020" max="3020" width="29.33203125" style="13" customWidth="1"/>
    <col min="3021" max="3021" width="13.6640625" style="13" customWidth="1"/>
    <col min="3022" max="3045" width="15.83203125" style="13" customWidth="1"/>
    <col min="3046" max="3275" width="9" style="13"/>
    <col min="3276" max="3276" width="29.33203125" style="13" customWidth="1"/>
    <col min="3277" max="3277" width="13.6640625" style="13" customWidth="1"/>
    <col min="3278" max="3301" width="15.83203125" style="13" customWidth="1"/>
    <col min="3302" max="3531" width="9" style="13"/>
    <col min="3532" max="3532" width="29.33203125" style="13" customWidth="1"/>
    <col min="3533" max="3533" width="13.6640625" style="13" customWidth="1"/>
    <col min="3534" max="3557" width="15.83203125" style="13" customWidth="1"/>
    <col min="3558" max="3787" width="9" style="13"/>
    <col min="3788" max="3788" width="29.33203125" style="13" customWidth="1"/>
    <col min="3789" max="3789" width="13.6640625" style="13" customWidth="1"/>
    <col min="3790" max="3813" width="15.83203125" style="13" customWidth="1"/>
    <col min="3814" max="4043" width="9" style="13"/>
    <col min="4044" max="4044" width="29.33203125" style="13" customWidth="1"/>
    <col min="4045" max="4045" width="13.6640625" style="13" customWidth="1"/>
    <col min="4046" max="4069" width="15.83203125" style="13" customWidth="1"/>
    <col min="4070" max="4299" width="9" style="13"/>
    <col min="4300" max="4300" width="29.33203125" style="13" customWidth="1"/>
    <col min="4301" max="4301" width="13.6640625" style="13" customWidth="1"/>
    <col min="4302" max="4325" width="15.83203125" style="13" customWidth="1"/>
    <col min="4326" max="4555" width="9" style="13"/>
    <col min="4556" max="4556" width="29.33203125" style="13" customWidth="1"/>
    <col min="4557" max="4557" width="13.6640625" style="13" customWidth="1"/>
    <col min="4558" max="4581" width="15.83203125" style="13" customWidth="1"/>
    <col min="4582" max="4811" width="9" style="13"/>
    <col min="4812" max="4812" width="29.33203125" style="13" customWidth="1"/>
    <col min="4813" max="4813" width="13.6640625" style="13" customWidth="1"/>
    <col min="4814" max="4837" width="15.83203125" style="13" customWidth="1"/>
    <col min="4838" max="5067" width="9" style="13"/>
    <col min="5068" max="5068" width="29.33203125" style="13" customWidth="1"/>
    <col min="5069" max="5069" width="13.6640625" style="13" customWidth="1"/>
    <col min="5070" max="5093" width="15.83203125" style="13" customWidth="1"/>
    <col min="5094" max="5323" width="9" style="13"/>
    <col min="5324" max="5324" width="29.33203125" style="13" customWidth="1"/>
    <col min="5325" max="5325" width="13.6640625" style="13" customWidth="1"/>
    <col min="5326" max="5349" width="15.83203125" style="13" customWidth="1"/>
    <col min="5350" max="5579" width="9" style="13"/>
    <col min="5580" max="5580" width="29.33203125" style="13" customWidth="1"/>
    <col min="5581" max="5581" width="13.6640625" style="13" customWidth="1"/>
    <col min="5582" max="5605" width="15.83203125" style="13" customWidth="1"/>
    <col min="5606" max="5835" width="9" style="13"/>
    <col min="5836" max="5836" width="29.33203125" style="13" customWidth="1"/>
    <col min="5837" max="5837" width="13.6640625" style="13" customWidth="1"/>
    <col min="5838" max="5861" width="15.83203125" style="13" customWidth="1"/>
    <col min="5862" max="6091" width="9" style="13"/>
    <col min="6092" max="6092" width="29.33203125" style="13" customWidth="1"/>
    <col min="6093" max="6093" width="13.6640625" style="13" customWidth="1"/>
    <col min="6094" max="6117" width="15.83203125" style="13" customWidth="1"/>
    <col min="6118" max="6347" width="9" style="13"/>
    <col min="6348" max="6348" width="29.33203125" style="13" customWidth="1"/>
    <col min="6349" max="6349" width="13.6640625" style="13" customWidth="1"/>
    <col min="6350" max="6373" width="15.83203125" style="13" customWidth="1"/>
    <col min="6374" max="6603" width="9" style="13"/>
    <col min="6604" max="6604" width="29.33203125" style="13" customWidth="1"/>
    <col min="6605" max="6605" width="13.6640625" style="13" customWidth="1"/>
    <col min="6606" max="6629" width="15.83203125" style="13" customWidth="1"/>
    <col min="6630" max="6859" width="9" style="13"/>
    <col min="6860" max="6860" width="29.33203125" style="13" customWidth="1"/>
    <col min="6861" max="6861" width="13.6640625" style="13" customWidth="1"/>
    <col min="6862" max="6885" width="15.83203125" style="13" customWidth="1"/>
    <col min="6886" max="7115" width="9" style="13"/>
    <col min="7116" max="7116" width="29.33203125" style="13" customWidth="1"/>
    <col min="7117" max="7117" width="13.6640625" style="13" customWidth="1"/>
    <col min="7118" max="7141" width="15.83203125" style="13" customWidth="1"/>
    <col min="7142" max="7371" width="9" style="13"/>
    <col min="7372" max="7372" width="29.33203125" style="13" customWidth="1"/>
    <col min="7373" max="7373" width="13.6640625" style="13" customWidth="1"/>
    <col min="7374" max="7397" width="15.83203125" style="13" customWidth="1"/>
    <col min="7398" max="7627" width="9" style="13"/>
    <col min="7628" max="7628" width="29.33203125" style="13" customWidth="1"/>
    <col min="7629" max="7629" width="13.6640625" style="13" customWidth="1"/>
    <col min="7630" max="7653" width="15.83203125" style="13" customWidth="1"/>
    <col min="7654" max="7883" width="9" style="13"/>
    <col min="7884" max="7884" width="29.33203125" style="13" customWidth="1"/>
    <col min="7885" max="7885" width="13.6640625" style="13" customWidth="1"/>
    <col min="7886" max="7909" width="15.83203125" style="13" customWidth="1"/>
    <col min="7910" max="8139" width="9" style="13"/>
    <col min="8140" max="8140" width="29.33203125" style="13" customWidth="1"/>
    <col min="8141" max="8141" width="13.6640625" style="13" customWidth="1"/>
    <col min="8142" max="8165" width="15.83203125" style="13" customWidth="1"/>
    <col min="8166" max="8395" width="9" style="13"/>
    <col min="8396" max="8396" width="29.33203125" style="13" customWidth="1"/>
    <col min="8397" max="8397" width="13.6640625" style="13" customWidth="1"/>
    <col min="8398" max="8421" width="15.83203125" style="13" customWidth="1"/>
    <col min="8422" max="8651" width="9" style="13"/>
    <col min="8652" max="8652" width="29.33203125" style="13" customWidth="1"/>
    <col min="8653" max="8653" width="13.6640625" style="13" customWidth="1"/>
    <col min="8654" max="8677" width="15.83203125" style="13" customWidth="1"/>
    <col min="8678" max="8907" width="9" style="13"/>
    <col min="8908" max="8908" width="29.33203125" style="13" customWidth="1"/>
    <col min="8909" max="8909" width="13.6640625" style="13" customWidth="1"/>
    <col min="8910" max="8933" width="15.83203125" style="13" customWidth="1"/>
    <col min="8934" max="9163" width="9" style="13"/>
    <col min="9164" max="9164" width="29.33203125" style="13" customWidth="1"/>
    <col min="9165" max="9165" width="13.6640625" style="13" customWidth="1"/>
    <col min="9166" max="9189" width="15.83203125" style="13" customWidth="1"/>
    <col min="9190" max="9419" width="9" style="13"/>
    <col min="9420" max="9420" width="29.33203125" style="13" customWidth="1"/>
    <col min="9421" max="9421" width="13.6640625" style="13" customWidth="1"/>
    <col min="9422" max="9445" width="15.83203125" style="13" customWidth="1"/>
    <col min="9446" max="9675" width="9" style="13"/>
    <col min="9676" max="9676" width="29.33203125" style="13" customWidth="1"/>
    <col min="9677" max="9677" width="13.6640625" style="13" customWidth="1"/>
    <col min="9678" max="9701" width="15.83203125" style="13" customWidth="1"/>
    <col min="9702" max="9931" width="9" style="13"/>
    <col min="9932" max="9932" width="29.33203125" style="13" customWidth="1"/>
    <col min="9933" max="9933" width="13.6640625" style="13" customWidth="1"/>
    <col min="9934" max="9957" width="15.83203125" style="13" customWidth="1"/>
    <col min="9958" max="10187" width="9" style="13"/>
    <col min="10188" max="10188" width="29.33203125" style="13" customWidth="1"/>
    <col min="10189" max="10189" width="13.6640625" style="13" customWidth="1"/>
    <col min="10190" max="10213" width="15.83203125" style="13" customWidth="1"/>
    <col min="10214" max="10443" width="9" style="13"/>
    <col min="10444" max="10444" width="29.33203125" style="13" customWidth="1"/>
    <col min="10445" max="10445" width="13.6640625" style="13" customWidth="1"/>
    <col min="10446" max="10469" width="15.83203125" style="13" customWidth="1"/>
    <col min="10470" max="10699" width="9" style="13"/>
    <col min="10700" max="10700" width="29.33203125" style="13" customWidth="1"/>
    <col min="10701" max="10701" width="13.6640625" style="13" customWidth="1"/>
    <col min="10702" max="10725" width="15.83203125" style="13" customWidth="1"/>
    <col min="10726" max="10955" width="9" style="13"/>
    <col min="10956" max="10956" width="29.33203125" style="13" customWidth="1"/>
    <col min="10957" max="10957" width="13.6640625" style="13" customWidth="1"/>
    <col min="10958" max="10981" width="15.83203125" style="13" customWidth="1"/>
    <col min="10982" max="11211" width="9" style="13"/>
    <col min="11212" max="11212" width="29.33203125" style="13" customWidth="1"/>
    <col min="11213" max="11213" width="13.6640625" style="13" customWidth="1"/>
    <col min="11214" max="11237" width="15.83203125" style="13" customWidth="1"/>
    <col min="11238" max="11467" width="9" style="13"/>
    <col min="11468" max="11468" width="29.33203125" style="13" customWidth="1"/>
    <col min="11469" max="11469" width="13.6640625" style="13" customWidth="1"/>
    <col min="11470" max="11493" width="15.83203125" style="13" customWidth="1"/>
    <col min="11494" max="11723" width="9" style="13"/>
    <col min="11724" max="11724" width="29.33203125" style="13" customWidth="1"/>
    <col min="11725" max="11725" width="13.6640625" style="13" customWidth="1"/>
    <col min="11726" max="11749" width="15.83203125" style="13" customWidth="1"/>
    <col min="11750" max="11979" width="9" style="13"/>
    <col min="11980" max="11980" width="29.33203125" style="13" customWidth="1"/>
    <col min="11981" max="11981" width="13.6640625" style="13" customWidth="1"/>
    <col min="11982" max="12005" width="15.83203125" style="13" customWidth="1"/>
    <col min="12006" max="12235" width="9" style="13"/>
    <col min="12236" max="12236" width="29.33203125" style="13" customWidth="1"/>
    <col min="12237" max="12237" width="13.6640625" style="13" customWidth="1"/>
    <col min="12238" max="12261" width="15.83203125" style="13" customWidth="1"/>
    <col min="12262" max="12491" width="9" style="13"/>
    <col min="12492" max="12492" width="29.33203125" style="13" customWidth="1"/>
    <col min="12493" max="12493" width="13.6640625" style="13" customWidth="1"/>
    <col min="12494" max="12517" width="15.83203125" style="13" customWidth="1"/>
    <col min="12518" max="12747" width="9" style="13"/>
    <col min="12748" max="12748" width="29.33203125" style="13" customWidth="1"/>
    <col min="12749" max="12749" width="13.6640625" style="13" customWidth="1"/>
    <col min="12750" max="12773" width="15.83203125" style="13" customWidth="1"/>
    <col min="12774" max="13003" width="9" style="13"/>
    <col min="13004" max="13004" width="29.33203125" style="13" customWidth="1"/>
    <col min="13005" max="13005" width="13.6640625" style="13" customWidth="1"/>
    <col min="13006" max="13029" width="15.83203125" style="13" customWidth="1"/>
    <col min="13030" max="13259" width="9" style="13"/>
    <col min="13260" max="13260" width="29.33203125" style="13" customWidth="1"/>
    <col min="13261" max="13261" width="13.6640625" style="13" customWidth="1"/>
    <col min="13262" max="13285" width="15.83203125" style="13" customWidth="1"/>
    <col min="13286" max="13515" width="9" style="13"/>
    <col min="13516" max="13516" width="29.33203125" style="13" customWidth="1"/>
    <col min="13517" max="13517" width="13.6640625" style="13" customWidth="1"/>
    <col min="13518" max="13541" width="15.83203125" style="13" customWidth="1"/>
    <col min="13542" max="13771" width="9" style="13"/>
    <col min="13772" max="13772" width="29.33203125" style="13" customWidth="1"/>
    <col min="13773" max="13773" width="13.6640625" style="13" customWidth="1"/>
    <col min="13774" max="13797" width="15.83203125" style="13" customWidth="1"/>
    <col min="13798" max="14027" width="9" style="13"/>
    <col min="14028" max="14028" width="29.33203125" style="13" customWidth="1"/>
    <col min="14029" max="14029" width="13.6640625" style="13" customWidth="1"/>
    <col min="14030" max="14053" width="15.83203125" style="13" customWidth="1"/>
    <col min="14054" max="14283" width="9" style="13"/>
    <col min="14284" max="14284" width="29.33203125" style="13" customWidth="1"/>
    <col min="14285" max="14285" width="13.6640625" style="13" customWidth="1"/>
    <col min="14286" max="14309" width="15.83203125" style="13" customWidth="1"/>
    <col min="14310" max="14539" width="9" style="13"/>
    <col min="14540" max="14540" width="29.33203125" style="13" customWidth="1"/>
    <col min="14541" max="14541" width="13.6640625" style="13" customWidth="1"/>
    <col min="14542" max="14565" width="15.83203125" style="13" customWidth="1"/>
    <col min="14566" max="14795" width="9" style="13"/>
    <col min="14796" max="14796" width="29.33203125" style="13" customWidth="1"/>
    <col min="14797" max="14797" width="13.6640625" style="13" customWidth="1"/>
    <col min="14798" max="14821" width="15.83203125" style="13" customWidth="1"/>
    <col min="14822" max="15051" width="9" style="13"/>
    <col min="15052" max="15052" width="29.33203125" style="13" customWidth="1"/>
    <col min="15053" max="15053" width="13.6640625" style="13" customWidth="1"/>
    <col min="15054" max="15077" width="15.83203125" style="13" customWidth="1"/>
    <col min="15078" max="15307" width="9" style="13"/>
    <col min="15308" max="15308" width="29.33203125" style="13" customWidth="1"/>
    <col min="15309" max="15309" width="13.6640625" style="13" customWidth="1"/>
    <col min="15310" max="15333" width="15.83203125" style="13" customWidth="1"/>
    <col min="15334" max="15563" width="9" style="13"/>
    <col min="15564" max="15564" width="29.33203125" style="13" customWidth="1"/>
    <col min="15565" max="15565" width="13.6640625" style="13" customWidth="1"/>
    <col min="15566" max="15589" width="15.83203125" style="13" customWidth="1"/>
    <col min="15590" max="15819" width="9" style="13"/>
    <col min="15820" max="15820" width="29.33203125" style="13" customWidth="1"/>
    <col min="15821" max="15821" width="13.6640625" style="13" customWidth="1"/>
    <col min="15822" max="15845" width="15.83203125" style="13" customWidth="1"/>
    <col min="15846" max="16075" width="9" style="13"/>
    <col min="16076" max="16076" width="29.33203125" style="13" customWidth="1"/>
    <col min="16077" max="16077" width="13.6640625" style="13" customWidth="1"/>
    <col min="16078" max="16101" width="15.83203125" style="13" customWidth="1"/>
    <col min="16102" max="16384" width="9" style="13"/>
  </cols>
  <sheetData>
    <row r="2" spans="2:37" ht="19">
      <c r="C2" s="16" t="s">
        <v>94</v>
      </c>
      <c r="R2" s="34" t="s">
        <v>77</v>
      </c>
    </row>
    <row r="3" spans="2:37">
      <c r="B3" s="19" t="s">
        <v>15</v>
      </c>
      <c r="C3" s="21">
        <v>2023</v>
      </c>
    </row>
    <row r="4" spans="2:37" ht="21">
      <c r="B4" s="48" t="s">
        <v>92</v>
      </c>
      <c r="C4" s="49" t="str">
        <f>IF(OR(MOD(C3,400)=0,AND(MOD(C3,4)=0,MOD(C3,100)&lt;&gt;9)),"Y", "N")</f>
        <v>N</v>
      </c>
      <c r="R4" s="14" t="s">
        <v>13</v>
      </c>
      <c r="S4" s="51"/>
      <c r="T4" s="52"/>
      <c r="U4" s="17"/>
      <c r="V4" s="17"/>
      <c r="AC4" s="15"/>
    </row>
    <row r="5" spans="2:37">
      <c r="C5" s="47"/>
      <c r="S5" s="32"/>
      <c r="T5" s="33"/>
      <c r="AC5" s="15"/>
    </row>
    <row r="6" spans="2:37">
      <c r="C6" s="20" t="s">
        <v>5</v>
      </c>
      <c r="D6" s="19" t="s">
        <v>6</v>
      </c>
      <c r="E6" s="50" t="s">
        <v>93</v>
      </c>
      <c r="O6" s="15"/>
      <c r="P6" s="55"/>
      <c r="R6" s="13" t="s">
        <v>10</v>
      </c>
      <c r="S6" s="15">
        <f>PI()/180</f>
        <v>1.7453292519943295E-2</v>
      </c>
      <c r="T6" s="33"/>
      <c r="AC6" s="15"/>
    </row>
    <row r="7" spans="2:37">
      <c r="B7" s="18" t="s">
        <v>22</v>
      </c>
      <c r="C7" s="30">
        <f>DATE(S17,S18,S19)</f>
        <v>45005</v>
      </c>
      <c r="D7" s="31">
        <f>TIME(S20,S21,S22)</f>
        <v>0.892974537037037</v>
      </c>
      <c r="E7" s="50">
        <f>IF(MONTH($C7)=1,0,IF(MONTH($C7)=2,31,IF(MONTH($C7)=3,59,IF(MONTH($C7)=4,90,IF(MONTH($C7)=5,120,IF(MONTH($C7)=6,151,IF(MONTH($C7)=7,181,IF(MONTH($C7)=8,212,IF(MONTH($C7)=9,243,IF(MONTH($C7)=10,273,IF(MONTH($C7)=11,304,334)))))))))))+DAY($C$7)+IF(AND(MONTH($C7)&gt;2,$C$4="Y"),1,0)</f>
        <v>79</v>
      </c>
      <c r="O7" s="15"/>
      <c r="P7" s="55"/>
      <c r="R7" s="13" t="s">
        <v>26</v>
      </c>
      <c r="S7" s="22">
        <f>($C3-2000)/1000</f>
        <v>2.3E-2</v>
      </c>
      <c r="T7" s="33"/>
      <c r="AC7" s="15"/>
    </row>
    <row r="8" spans="2:37">
      <c r="B8" s="18" t="s">
        <v>23</v>
      </c>
      <c r="C8" s="30">
        <f>DATE(T17,T18,T19)</f>
        <v>45098</v>
      </c>
      <c r="D8" s="31">
        <f>TIME(T20,T21,T22)</f>
        <v>0.62418981481481484</v>
      </c>
      <c r="E8" s="50">
        <f>IF(MONTH($C8)=1,0,IF(MONTH($C8)=2,31,IF(MONTH($C8)=3,59,IF(MONTH($C8)=4,90,IF(MONTH($C8)=5,120,IF(MONTH($C8)=6,151,IF(MONTH($C8)=7,181,IF(MONTH($C8)=8,212,IF(MONTH($C8)=9,243,IF(MONTH($C8)=10,273,IF(MONTH($C8)=11,304,334)))))))))))+DAY($C$7)+IF(AND(MONTH($C8)&gt;2,$C$4="Y"),1,0)</f>
        <v>171</v>
      </c>
      <c r="O8" s="15"/>
      <c r="P8" s="55"/>
      <c r="S8" s="22"/>
      <c r="AC8" s="15"/>
    </row>
    <row r="9" spans="2:37">
      <c r="B9" s="18" t="s">
        <v>24</v>
      </c>
      <c r="C9" s="30">
        <f>DATE(U17,U18,U19)</f>
        <v>45192</v>
      </c>
      <c r="D9" s="31">
        <f>TIME(U20,U21,U22)</f>
        <v>0.28571759259259261</v>
      </c>
      <c r="E9" s="50">
        <f>IF(MONTH($C9)=1,0,IF(MONTH($C9)=2,31,IF(MONTH($C9)=3,59,IF(MONTH($C9)=4,90,IF(MONTH($C9)=5,120,IF(MONTH($C9)=6,151,IF(MONTH($C9)=7,181,IF(MONTH($C9)=8,212,IF(MONTH($C9)=9,243,IF(MONTH($C9)=10,273,IF(MONTH($C9)=11,304,334)))))))))))+DAY($C$7)+IF(AND(MONTH($C9)&gt;2,$C$4="Y"),1,0)</f>
        <v>263</v>
      </c>
      <c r="O9" s="15"/>
      <c r="P9" s="55"/>
      <c r="S9" s="24" t="s">
        <v>55</v>
      </c>
      <c r="T9" s="24" t="s">
        <v>54</v>
      </c>
      <c r="U9" s="24" t="s">
        <v>56</v>
      </c>
      <c r="V9" s="24" t="s">
        <v>57</v>
      </c>
      <c r="X9" s="67" t="s">
        <v>27</v>
      </c>
      <c r="Y9" s="68"/>
      <c r="Z9" s="53"/>
      <c r="AA9" s="53"/>
      <c r="AB9" s="53"/>
      <c r="AE9" s="24" t="s">
        <v>55</v>
      </c>
      <c r="AF9" s="24" t="s">
        <v>54</v>
      </c>
      <c r="AG9" s="24" t="s">
        <v>56</v>
      </c>
      <c r="AH9" s="24" t="s">
        <v>57</v>
      </c>
      <c r="AI9" s="24" t="s">
        <v>28</v>
      </c>
      <c r="AJ9" s="24" t="s">
        <v>29</v>
      </c>
      <c r="AK9" s="24" t="s">
        <v>8</v>
      </c>
    </row>
    <row r="10" spans="2:37" ht="18">
      <c r="B10" s="18" t="s">
        <v>25</v>
      </c>
      <c r="C10" s="30">
        <f>DATE(V17,V18,V19)</f>
        <v>45282</v>
      </c>
      <c r="D10" s="31">
        <f>TIME(V20,V21,V22)</f>
        <v>0.14503472222222222</v>
      </c>
      <c r="E10" s="50">
        <f>IF(MONTH($C10)=1,0,IF(MONTH($C10)=2,31,IF(MONTH($C10)=3,59,IF(MONTH($C10)=4,90,IF(MONTH($C10)=5,120,IF(MONTH($C10)=6,151,IF(MONTH($C10)=7,181,IF(MONTH($C10)=8,212,IF(MONTH($C10)=9,243,IF(MONTH($C10)=10,273,IF(MONTH($C10)=11,304,334)))))))))))+DAY($C$7)+IF(AND(MONTH($C10)&gt;2,$C$4="Y"),1,0)</f>
        <v>354</v>
      </c>
      <c r="O10" s="15"/>
      <c r="P10" s="55"/>
      <c r="R10" s="25" t="s">
        <v>21</v>
      </c>
      <c r="S10" s="23">
        <f>$X10+$Y10*$S$7+$Z10*POWER($S$7,2)+$AA10*POWER($S$7,3)+$AB10*POWER($S$7,4)</f>
        <v>2460024.3844702141</v>
      </c>
      <c r="T10" s="23">
        <f>$X11+$Y11*$S$7+$Z11*POWER($S$7,2)+$AA11*POWER($S$7,3)+$AB11*POWER($S$7,4)</f>
        <v>2460117.125070517</v>
      </c>
      <c r="U10" s="23">
        <f>$X12+$Y12*$S$7+$Z12*POWER($S$7,2)+$AA12*POWER($S$7,3)+$AB12*POWER($S$7,4)</f>
        <v>2460210.7836176828</v>
      </c>
      <c r="V10" s="23">
        <f>$X13+$Y13*$S$7+$Z13*POWER($S$7,2)+$AA13*POWER($S$7,3)+$AB13*POWER($S$7,4)</f>
        <v>2460300.6425840897</v>
      </c>
      <c r="X10" s="23">
        <v>2451623.8098399998</v>
      </c>
      <c r="Y10" s="23">
        <v>365242.37404000002</v>
      </c>
      <c r="Z10" s="23">
        <v>5.169E-2</v>
      </c>
      <c r="AA10" s="23">
        <v>-4.1099999999999999E-3</v>
      </c>
      <c r="AB10" s="23">
        <v>-5.6999999999999998E-4</v>
      </c>
      <c r="AD10" s="24" t="s">
        <v>30</v>
      </c>
      <c r="AE10" s="24">
        <f t="shared" ref="AE10:AE33" si="0">$AI10*COS($S$6*($AJ10+$AK10*S$11))</f>
        <v>285.24517223825558</v>
      </c>
      <c r="AF10" s="24">
        <f t="shared" ref="AF10:AF33" si="1">$AI10*COS($S$6*($AJ10+$AK10*T$11))</f>
        <v>250.61843586328905</v>
      </c>
      <c r="AG10" s="24">
        <f t="shared" ref="AG10:AG33" si="2">$AI10*COS($S$6*($AJ10+$AK10*U$11))</f>
        <v>213.78236675827713</v>
      </c>
      <c r="AH10" s="24">
        <f t="shared" ref="AH10:AH33" si="3">$AI10*COS($S$6*($AJ10+$AK10*V$11))</f>
        <v>176.93232858415621</v>
      </c>
      <c r="AI10" s="25">
        <v>485</v>
      </c>
      <c r="AJ10" s="26">
        <v>324.95999999999998</v>
      </c>
      <c r="AK10" s="27">
        <v>1934.136</v>
      </c>
    </row>
    <row r="11" spans="2:37" ht="18">
      <c r="C11" s="32"/>
      <c r="D11" s="33"/>
      <c r="O11" s="15"/>
      <c r="P11" s="55"/>
      <c r="R11" s="25" t="s">
        <v>16</v>
      </c>
      <c r="S11" s="23">
        <f>(S10-2451545)/36525</f>
        <v>0.23215289446171489</v>
      </c>
      <c r="T11" s="23">
        <f t="shared" ref="T11:V11" si="4">(T10-2451545)/36525</f>
        <v>0.23469199371709654</v>
      </c>
      <c r="U11" s="23">
        <f t="shared" si="4"/>
        <v>0.23725622498789198</v>
      </c>
      <c r="V11" s="23">
        <f t="shared" si="4"/>
        <v>0.23971642940697208</v>
      </c>
      <c r="X11" s="23">
        <v>2451716.5676699998</v>
      </c>
      <c r="Y11" s="23">
        <v>365241.62602999998</v>
      </c>
      <c r="Z11" s="23">
        <v>3.2499999999999999E-3</v>
      </c>
      <c r="AA11" s="23">
        <v>8.8800000000000007E-3</v>
      </c>
      <c r="AB11" s="23">
        <v>-2.9999999999999997E-4</v>
      </c>
      <c r="AD11" s="24" t="s">
        <v>31</v>
      </c>
      <c r="AE11" s="24">
        <f t="shared" si="0"/>
        <v>69.342092239949466</v>
      </c>
      <c r="AF11" s="24">
        <f t="shared" si="1"/>
        <v>-182.02829770020674</v>
      </c>
      <c r="AG11" s="24">
        <f t="shared" si="2"/>
        <v>-106.80636456389179</v>
      </c>
      <c r="AH11" s="24">
        <f t="shared" si="3"/>
        <v>154.02671691180223</v>
      </c>
      <c r="AI11" s="25">
        <v>203</v>
      </c>
      <c r="AJ11" s="26">
        <v>337.23</v>
      </c>
      <c r="AK11" s="27">
        <v>32964.466999999997</v>
      </c>
    </row>
    <row r="12" spans="2:37" ht="18">
      <c r="C12" s="32"/>
      <c r="D12" s="33"/>
      <c r="O12" s="15"/>
      <c r="P12" s="55"/>
      <c r="R12" s="25" t="s">
        <v>17</v>
      </c>
      <c r="S12" s="23">
        <f>35999.373*S11-(2+(47/60))</f>
        <v>8354.5753074235763</v>
      </c>
      <c r="T12" s="23">
        <f t="shared" ref="T12:V12" si="5">35999.373*T11-(2+(47/60))</f>
        <v>8445.9812886020809</v>
      </c>
      <c r="U12" s="23">
        <f t="shared" si="5"/>
        <v>8538.2920065777107</v>
      </c>
      <c r="V12" s="23">
        <f t="shared" si="5"/>
        <v>8626.8578231164229</v>
      </c>
      <c r="X12" s="23">
        <v>2451810.2171499999</v>
      </c>
      <c r="Y12" s="23">
        <v>365242.01766999997</v>
      </c>
      <c r="Z12" s="23">
        <v>0.11575000000000001</v>
      </c>
      <c r="AA12" s="23">
        <v>3.3700000000000002E-3</v>
      </c>
      <c r="AB12" s="23">
        <v>7.7999999999999999E-4</v>
      </c>
      <c r="AD12" s="24" t="s">
        <v>32</v>
      </c>
      <c r="AE12" s="24">
        <f t="shared" si="0"/>
        <v>193.71539133706705</v>
      </c>
      <c r="AF12" s="24">
        <f t="shared" si="1"/>
        <v>193.75606617647645</v>
      </c>
      <c r="AG12" s="24">
        <f t="shared" si="2"/>
        <v>193.79698625656474</v>
      </c>
      <c r="AH12" s="24">
        <f t="shared" si="3"/>
        <v>193.83609760089675</v>
      </c>
      <c r="AI12" s="25">
        <v>199</v>
      </c>
      <c r="AJ12" s="26">
        <v>342.08</v>
      </c>
      <c r="AK12" s="27">
        <v>20.186</v>
      </c>
    </row>
    <row r="13" spans="2:37" ht="18">
      <c r="B13" s="66">
        <f>C3</f>
        <v>2023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15"/>
      <c r="P13" s="55"/>
      <c r="R13" s="25" t="s">
        <v>18</v>
      </c>
      <c r="S13" s="23">
        <f>1+0.0334*COS($S$6*S12)+0.0007*COS($S$6*2*S12)</f>
        <v>1.008282488206852</v>
      </c>
      <c r="T13" s="23">
        <f>1+0.0334*COS($S$6*T12)+0.0007*COS($S$6*2*T12)</f>
        <v>0.96821261180114537</v>
      </c>
      <c r="U13" s="23">
        <f>1+0.0334*COS($S$6*U12)+0.0007*COS($S$6*2*U12)</f>
        <v>0.99257999088726145</v>
      </c>
      <c r="V13" s="23">
        <f>1+0.0334*COS($S$6*V12)+0.0007*COS($S$6*2*V12)</f>
        <v>1.0331528410837163</v>
      </c>
      <c r="X13" s="23">
        <v>2451900.0595200001</v>
      </c>
      <c r="Y13" s="23">
        <v>365242.74049</v>
      </c>
      <c r="Z13" s="23">
        <v>6.2230000000000001E-2</v>
      </c>
      <c r="AA13" s="23">
        <v>-8.2299999999999995E-3</v>
      </c>
      <c r="AB13" s="23">
        <v>3.2000000000000003E-4</v>
      </c>
      <c r="AD13" s="24" t="s">
        <v>33</v>
      </c>
      <c r="AE13" s="24">
        <f t="shared" si="0"/>
        <v>38.154121035382637</v>
      </c>
      <c r="AF13" s="24">
        <f t="shared" si="1"/>
        <v>-113.23861753231506</v>
      </c>
      <c r="AG13" s="24">
        <f t="shared" si="2"/>
        <v>-179.0987384487012</v>
      </c>
      <c r="AH13" s="24">
        <f t="shared" si="3"/>
        <v>-164.00673208748833</v>
      </c>
      <c r="AI13" s="25">
        <v>182</v>
      </c>
      <c r="AJ13" s="26">
        <v>27.85</v>
      </c>
      <c r="AK13" s="27">
        <v>445267.11200000002</v>
      </c>
    </row>
    <row r="14" spans="2:37" ht="18">
      <c r="B14" s="35" t="s">
        <v>79</v>
      </c>
      <c r="C14" s="36" t="s">
        <v>80</v>
      </c>
      <c r="D14" s="37" t="s">
        <v>81</v>
      </c>
      <c r="E14" s="37" t="s">
        <v>82</v>
      </c>
      <c r="F14" s="37" t="s">
        <v>83</v>
      </c>
      <c r="G14" s="37" t="s">
        <v>84</v>
      </c>
      <c r="H14" s="37" t="s">
        <v>85</v>
      </c>
      <c r="I14" s="37" t="s">
        <v>86</v>
      </c>
      <c r="J14" s="37" t="s">
        <v>87</v>
      </c>
      <c r="K14" s="37" t="s">
        <v>88</v>
      </c>
      <c r="L14" s="37" t="s">
        <v>89</v>
      </c>
      <c r="M14" s="37" t="s">
        <v>90</v>
      </c>
      <c r="N14" s="38" t="s">
        <v>91</v>
      </c>
      <c r="O14" s="15"/>
      <c r="P14" s="55"/>
      <c r="R14" s="25" t="s">
        <v>19</v>
      </c>
      <c r="S14" s="23">
        <f>AE34</f>
        <v>858.00838440103928</v>
      </c>
      <c r="T14" s="23">
        <f>AF34</f>
        <v>-84.775861396922579</v>
      </c>
      <c r="U14" s="23">
        <f>AG34</f>
        <v>209.10721466244831</v>
      </c>
      <c r="V14" s="23">
        <f>AH34</f>
        <v>253.44592303100427</v>
      </c>
      <c r="AD14" s="24" t="s">
        <v>34</v>
      </c>
      <c r="AE14" s="24">
        <f t="shared" si="0"/>
        <v>3.8564876628743523</v>
      </c>
      <c r="AF14" s="24">
        <f t="shared" si="1"/>
        <v>-143.6661531541784</v>
      </c>
      <c r="AG14" s="24">
        <f t="shared" si="2"/>
        <v>116.69546306834627</v>
      </c>
      <c r="AH14" s="24">
        <f t="shared" si="3"/>
        <v>55.341950107449051</v>
      </c>
      <c r="AI14" s="25">
        <v>156</v>
      </c>
      <c r="AJ14" s="26">
        <v>73.14</v>
      </c>
      <c r="AK14" s="27">
        <v>45036.885999999999</v>
      </c>
    </row>
    <row r="15" spans="2:37" ht="18">
      <c r="B15" s="39">
        <v>1</v>
      </c>
      <c r="C15" s="40">
        <v>1</v>
      </c>
      <c r="D15" s="41">
        <f>C45+1</f>
        <v>32</v>
      </c>
      <c r="E15" s="41">
        <f>D42+IF(C4="Y",2,1)</f>
        <v>60</v>
      </c>
      <c r="F15" s="41">
        <f>E45+1</f>
        <v>91</v>
      </c>
      <c r="G15" s="41">
        <f>F44+1</f>
        <v>121</v>
      </c>
      <c r="H15" s="41">
        <f>G45+1</f>
        <v>152</v>
      </c>
      <c r="I15" s="41">
        <f>H44+1</f>
        <v>182</v>
      </c>
      <c r="J15" s="41">
        <f>I45+1</f>
        <v>213</v>
      </c>
      <c r="K15" s="41">
        <f>J45+1</f>
        <v>244</v>
      </c>
      <c r="L15" s="41">
        <f>K44+1</f>
        <v>274</v>
      </c>
      <c r="M15" s="41">
        <f>L45+1</f>
        <v>305</v>
      </c>
      <c r="N15" s="42">
        <f>M44+1</f>
        <v>335</v>
      </c>
      <c r="O15" s="15"/>
      <c r="P15" s="55"/>
      <c r="R15" s="25" t="s">
        <v>20</v>
      </c>
      <c r="S15" s="26">
        <f>S10+((0.00001*S14)/S13)</f>
        <v>2460024.3929798175</v>
      </c>
      <c r="T15" s="26">
        <f>T10+((0.00001*T14)/T13)</f>
        <v>2460117.1241949257</v>
      </c>
      <c r="U15" s="26">
        <f>U10+((0.00001*U14)/U13)</f>
        <v>2460210.7857243866</v>
      </c>
      <c r="V15" s="26">
        <f>V10+((0.00001*V14)/V13)</f>
        <v>2460300.6450372208</v>
      </c>
      <c r="AD15" s="24" t="s">
        <v>35</v>
      </c>
      <c r="AE15" s="24">
        <f t="shared" si="0"/>
        <v>135.9880899080886</v>
      </c>
      <c r="AF15" s="24">
        <f t="shared" si="1"/>
        <v>75.225100099842251</v>
      </c>
      <c r="AG15" s="24">
        <f t="shared" si="2"/>
        <v>-55.664603581466118</v>
      </c>
      <c r="AH15" s="24">
        <f t="shared" si="3"/>
        <v>-133.74887121575833</v>
      </c>
      <c r="AI15" s="25">
        <v>136</v>
      </c>
      <c r="AJ15" s="26">
        <v>171.52</v>
      </c>
      <c r="AK15" s="27">
        <v>22518.442999999999</v>
      </c>
    </row>
    <row r="16" spans="2:37" ht="18">
      <c r="B16" s="39">
        <v>2</v>
      </c>
      <c r="C16" s="40">
        <f>C15+1</f>
        <v>2</v>
      </c>
      <c r="D16" s="41">
        <f>D15+1</f>
        <v>33</v>
      </c>
      <c r="E16" s="41">
        <f t="shared" ref="E16:N31" si="6">E15+1</f>
        <v>61</v>
      </c>
      <c r="F16" s="41">
        <f t="shared" si="6"/>
        <v>92</v>
      </c>
      <c r="G16" s="41">
        <f t="shared" si="6"/>
        <v>122</v>
      </c>
      <c r="H16" s="41">
        <f t="shared" si="6"/>
        <v>153</v>
      </c>
      <c r="I16" s="41">
        <f t="shared" si="6"/>
        <v>183</v>
      </c>
      <c r="J16" s="41">
        <f t="shared" si="6"/>
        <v>214</v>
      </c>
      <c r="K16" s="41">
        <f t="shared" si="6"/>
        <v>245</v>
      </c>
      <c r="L16" s="41">
        <f t="shared" si="6"/>
        <v>275</v>
      </c>
      <c r="M16" s="41">
        <f t="shared" si="6"/>
        <v>306</v>
      </c>
      <c r="N16" s="42">
        <f t="shared" si="6"/>
        <v>336</v>
      </c>
      <c r="O16" s="15"/>
      <c r="P16" s="55"/>
      <c r="R16" s="25" t="s">
        <v>59</v>
      </c>
      <c r="S16" s="26">
        <f>IF(S15-INT(S15)&gt;= 0.5,INT(S15+1),INT(S15))</f>
        <v>2460024</v>
      </c>
      <c r="T16" s="26">
        <f>IF(T15-INT(T15)&gt;= 0.5,INT(T15+1),INT(T15))</f>
        <v>2460117</v>
      </c>
      <c r="U16" s="26">
        <f>IF(U15-INT(U15)&gt;= 0.5,INT(U15+1),INT(U15))</f>
        <v>2460211</v>
      </c>
      <c r="V16" s="26">
        <f>IF(V15-INT(V15)&gt;= 0.5,INT(V15+1),INT(V15))</f>
        <v>2460301</v>
      </c>
      <c r="AD16" s="24" t="s">
        <v>36</v>
      </c>
      <c r="AE16" s="24">
        <f t="shared" si="0"/>
        <v>51.390232146741759</v>
      </c>
      <c r="AF16" s="24">
        <f t="shared" si="1"/>
        <v>-62.661159065683862</v>
      </c>
      <c r="AG16" s="24">
        <f t="shared" si="2"/>
        <v>70.01677468430843</v>
      </c>
      <c r="AH16" s="24">
        <f t="shared" si="3"/>
        <v>-76.460148185315518</v>
      </c>
      <c r="AI16" s="25">
        <v>77</v>
      </c>
      <c r="AJ16" s="26">
        <v>222.54</v>
      </c>
      <c r="AK16" s="27">
        <v>65928.933999999994</v>
      </c>
    </row>
    <row r="17" spans="2:37" ht="18">
      <c r="B17" s="39">
        <v>3</v>
      </c>
      <c r="C17" s="40">
        <f t="shared" ref="C17:N32" si="7">C16+1</f>
        <v>3</v>
      </c>
      <c r="D17" s="41">
        <f t="shared" si="7"/>
        <v>34</v>
      </c>
      <c r="E17" s="41">
        <f t="shared" si="6"/>
        <v>62</v>
      </c>
      <c r="F17" s="41">
        <f t="shared" si="6"/>
        <v>93</v>
      </c>
      <c r="G17" s="41">
        <f t="shared" si="6"/>
        <v>123</v>
      </c>
      <c r="H17" s="41">
        <f t="shared" si="6"/>
        <v>154</v>
      </c>
      <c r="I17" s="41">
        <f t="shared" si="6"/>
        <v>184</v>
      </c>
      <c r="J17" s="41">
        <f t="shared" si="6"/>
        <v>215</v>
      </c>
      <c r="K17" s="41">
        <f t="shared" si="6"/>
        <v>246</v>
      </c>
      <c r="L17" s="41">
        <f t="shared" si="6"/>
        <v>276</v>
      </c>
      <c r="M17" s="41">
        <f t="shared" si="6"/>
        <v>307</v>
      </c>
      <c r="N17" s="42">
        <f t="shared" si="6"/>
        <v>337</v>
      </c>
      <c r="O17" s="15"/>
      <c r="P17" s="55"/>
      <c r="R17" s="25" t="s">
        <v>15</v>
      </c>
      <c r="S17" s="28">
        <f>INT(S24/1461)-4716+INT((12+2-S18)/12)</f>
        <v>2023</v>
      </c>
      <c r="T17" s="28">
        <f>INT(T24/1461)-4716+INT((12+2-T18)/12)</f>
        <v>2023</v>
      </c>
      <c r="U17" s="28">
        <f>INT(U24/1461)-4716+INT((12+2-U18)/12)</f>
        <v>2023</v>
      </c>
      <c r="V17" s="28">
        <f>INT(V24/1461)-4716+INT((12+2-V18)/12)</f>
        <v>2023</v>
      </c>
      <c r="AD17" s="24" t="s">
        <v>37</v>
      </c>
      <c r="AE17" s="24">
        <f t="shared" si="0"/>
        <v>14.477485759875128</v>
      </c>
      <c r="AF17" s="24">
        <f t="shared" si="1"/>
        <v>24.077559594983754</v>
      </c>
      <c r="AG17" s="24">
        <f t="shared" si="2"/>
        <v>33.330741960768655</v>
      </c>
      <c r="AH17" s="24">
        <f t="shared" si="3"/>
        <v>41.633503463087827</v>
      </c>
      <c r="AI17" s="25">
        <v>74</v>
      </c>
      <c r="AJ17" s="26">
        <v>296.72000000000003</v>
      </c>
      <c r="AK17" s="27">
        <v>3034.9059999999999</v>
      </c>
    </row>
    <row r="18" spans="2:37" ht="18">
      <c r="B18" s="39">
        <v>4</v>
      </c>
      <c r="C18" s="40">
        <f t="shared" si="7"/>
        <v>4</v>
      </c>
      <c r="D18" s="41">
        <f t="shared" si="7"/>
        <v>35</v>
      </c>
      <c r="E18" s="41">
        <f t="shared" si="6"/>
        <v>63</v>
      </c>
      <c r="F18" s="41">
        <f t="shared" si="6"/>
        <v>94</v>
      </c>
      <c r="G18" s="41">
        <f t="shared" si="6"/>
        <v>124</v>
      </c>
      <c r="H18" s="41">
        <f t="shared" si="6"/>
        <v>155</v>
      </c>
      <c r="I18" s="41">
        <f t="shared" si="6"/>
        <v>185</v>
      </c>
      <c r="J18" s="41">
        <f t="shared" si="6"/>
        <v>216</v>
      </c>
      <c r="K18" s="41">
        <f t="shared" si="6"/>
        <v>247</v>
      </c>
      <c r="L18" s="41">
        <f t="shared" si="6"/>
        <v>277</v>
      </c>
      <c r="M18" s="41">
        <f t="shared" si="6"/>
        <v>308</v>
      </c>
      <c r="N18" s="42">
        <f t="shared" si="6"/>
        <v>338</v>
      </c>
      <c r="O18" s="15"/>
      <c r="P18" s="55"/>
      <c r="R18" s="25" t="s">
        <v>60</v>
      </c>
      <c r="S18" s="28">
        <f>MOD(INT((S26/S36)+S57),S58)+1</f>
        <v>3</v>
      </c>
      <c r="T18" s="28">
        <f>MOD(INT((T26/T36)+T57),T58)+1</f>
        <v>6</v>
      </c>
      <c r="U18" s="28">
        <f>MOD(INT((U26/U36)+U57),U58)+1</f>
        <v>9</v>
      </c>
      <c r="V18" s="28">
        <f>MOD(INT((V26/V36)+V57),V58)+1</f>
        <v>12</v>
      </c>
      <c r="AD18" s="24" t="s">
        <v>38</v>
      </c>
      <c r="AE18" s="24">
        <f t="shared" si="0"/>
        <v>-69.970452738348939</v>
      </c>
      <c r="AF18" s="24">
        <f t="shared" si="1"/>
        <v>-63.640451626911776</v>
      </c>
      <c r="AG18" s="24">
        <f t="shared" si="2"/>
        <v>-47.032913786623801</v>
      </c>
      <c r="AH18" s="24">
        <f t="shared" si="3"/>
        <v>-23.918049036826204</v>
      </c>
      <c r="AI18" s="25">
        <v>70</v>
      </c>
      <c r="AJ18" s="26">
        <v>243.58</v>
      </c>
      <c r="AK18" s="27">
        <v>9037.5130000000008</v>
      </c>
    </row>
    <row r="19" spans="2:37" ht="18">
      <c r="B19" s="39">
        <v>5</v>
      </c>
      <c r="C19" s="40">
        <f t="shared" si="7"/>
        <v>5</v>
      </c>
      <c r="D19" s="41">
        <f t="shared" si="7"/>
        <v>36</v>
      </c>
      <c r="E19" s="41">
        <f t="shared" si="6"/>
        <v>64</v>
      </c>
      <c r="F19" s="41">
        <f t="shared" si="6"/>
        <v>95</v>
      </c>
      <c r="G19" s="41">
        <f t="shared" si="6"/>
        <v>125</v>
      </c>
      <c r="H19" s="41">
        <f t="shared" si="6"/>
        <v>156</v>
      </c>
      <c r="I19" s="41">
        <f t="shared" si="6"/>
        <v>186</v>
      </c>
      <c r="J19" s="41">
        <f t="shared" si="6"/>
        <v>217</v>
      </c>
      <c r="K19" s="41">
        <f t="shared" si="6"/>
        <v>248</v>
      </c>
      <c r="L19" s="41">
        <f t="shared" si="6"/>
        <v>278</v>
      </c>
      <c r="M19" s="41">
        <f t="shared" si="6"/>
        <v>309</v>
      </c>
      <c r="N19" s="42">
        <f t="shared" si="6"/>
        <v>339</v>
      </c>
      <c r="O19" s="15"/>
      <c r="P19" s="55"/>
      <c r="R19" s="25" t="s">
        <v>61</v>
      </c>
      <c r="S19" s="28">
        <f>INT(MOD(S26,S36)/S34)+1</f>
        <v>20</v>
      </c>
      <c r="T19" s="28">
        <f>INT(MOD(T26,T36)/T34)+1</f>
        <v>21</v>
      </c>
      <c r="U19" s="28">
        <f>INT(MOD(U26,U36)/U34)+1</f>
        <v>23</v>
      </c>
      <c r="V19" s="28">
        <f>INT(MOD(V26,V36)/V34)+1</f>
        <v>22</v>
      </c>
      <c r="AD19" s="24" t="s">
        <v>39</v>
      </c>
      <c r="AE19" s="24">
        <f t="shared" si="0"/>
        <v>51.411329741961822</v>
      </c>
      <c r="AF19" s="24">
        <f t="shared" si="1"/>
        <v>-22.838529456806537</v>
      </c>
      <c r="AG19" s="24">
        <f t="shared" si="2"/>
        <v>-54.622240543966164</v>
      </c>
      <c r="AH19" s="24">
        <f t="shared" si="3"/>
        <v>12.656067035886233</v>
      </c>
      <c r="AI19" s="25">
        <v>58</v>
      </c>
      <c r="AJ19" s="26">
        <v>119.81</v>
      </c>
      <c r="AK19" s="27">
        <v>33718.146999999997</v>
      </c>
    </row>
    <row r="20" spans="2:37" ht="18">
      <c r="B20" s="39">
        <v>6</v>
      </c>
      <c r="C20" s="40">
        <f t="shared" si="7"/>
        <v>6</v>
      </c>
      <c r="D20" s="41">
        <f t="shared" si="7"/>
        <v>37</v>
      </c>
      <c r="E20" s="41">
        <f t="shared" si="6"/>
        <v>65</v>
      </c>
      <c r="F20" s="41">
        <f t="shared" si="6"/>
        <v>96</v>
      </c>
      <c r="G20" s="41">
        <f t="shared" si="6"/>
        <v>126</v>
      </c>
      <c r="H20" s="41">
        <f t="shared" si="6"/>
        <v>157</v>
      </c>
      <c r="I20" s="41">
        <f t="shared" si="6"/>
        <v>187</v>
      </c>
      <c r="J20" s="41">
        <f t="shared" si="6"/>
        <v>218</v>
      </c>
      <c r="K20" s="41">
        <f t="shared" si="6"/>
        <v>249</v>
      </c>
      <c r="L20" s="41">
        <f t="shared" si="6"/>
        <v>279</v>
      </c>
      <c r="M20" s="41">
        <f t="shared" si="6"/>
        <v>310</v>
      </c>
      <c r="N20" s="42">
        <f t="shared" si="6"/>
        <v>340</v>
      </c>
      <c r="O20" s="15"/>
      <c r="P20" s="55"/>
      <c r="R20" s="25" t="s">
        <v>62</v>
      </c>
      <c r="S20" s="28">
        <f>INT(ROUND(S59*24,0))</f>
        <v>21</v>
      </c>
      <c r="T20" s="28">
        <f>INT(ROUND(T59*24,0))</f>
        <v>15</v>
      </c>
      <c r="U20" s="28">
        <f>INT(ROUND(U59*24,0))</f>
        <v>7</v>
      </c>
      <c r="V20" s="28">
        <f>INT(ROUND(V59*24,0))</f>
        <v>3</v>
      </c>
      <c r="AD20" s="24" t="s">
        <v>40</v>
      </c>
      <c r="AE20" s="24">
        <f t="shared" si="0"/>
        <v>45.977170781676456</v>
      </c>
      <c r="AF20" s="24">
        <f t="shared" si="1"/>
        <v>46.138351583239832</v>
      </c>
      <c r="AG20" s="24">
        <f t="shared" si="2"/>
        <v>46.29903989611833</v>
      </c>
      <c r="AH20" s="24">
        <f t="shared" si="3"/>
        <v>46.451230393456385</v>
      </c>
      <c r="AI20" s="25">
        <v>52</v>
      </c>
      <c r="AJ20" s="26">
        <v>297.17</v>
      </c>
      <c r="AK20" s="27">
        <v>150.678</v>
      </c>
    </row>
    <row r="21" spans="2:37" ht="18">
      <c r="B21" s="39">
        <v>7</v>
      </c>
      <c r="C21" s="40">
        <f t="shared" si="7"/>
        <v>7</v>
      </c>
      <c r="D21" s="41">
        <f t="shared" si="7"/>
        <v>38</v>
      </c>
      <c r="E21" s="41">
        <f t="shared" si="6"/>
        <v>66</v>
      </c>
      <c r="F21" s="41">
        <f t="shared" si="6"/>
        <v>97</v>
      </c>
      <c r="G21" s="41">
        <f t="shared" si="6"/>
        <v>127</v>
      </c>
      <c r="H21" s="41">
        <f t="shared" si="6"/>
        <v>158</v>
      </c>
      <c r="I21" s="41">
        <f t="shared" si="6"/>
        <v>188</v>
      </c>
      <c r="J21" s="41">
        <f t="shared" si="6"/>
        <v>219</v>
      </c>
      <c r="K21" s="41">
        <f t="shared" si="6"/>
        <v>250</v>
      </c>
      <c r="L21" s="41">
        <f t="shared" si="6"/>
        <v>280</v>
      </c>
      <c r="M21" s="41">
        <f t="shared" si="6"/>
        <v>311</v>
      </c>
      <c r="N21" s="42">
        <f t="shared" si="6"/>
        <v>341</v>
      </c>
      <c r="O21" s="15"/>
      <c r="P21" s="55"/>
      <c r="R21" s="25" t="s">
        <v>63</v>
      </c>
      <c r="S21" s="28">
        <f>INT((3600*24*S59-3600*S20)/60)</f>
        <v>25</v>
      </c>
      <c r="T21" s="28">
        <f>INT((3600*24*T59-3600*T20)/60)</f>
        <v>-2</v>
      </c>
      <c r="U21" s="28">
        <f>INT((3600*24*U59-3600*U20)/60)</f>
        <v>-9</v>
      </c>
      <c r="V21" s="28">
        <f>INT((3600*24*V59-3600*V20)/60)</f>
        <v>28</v>
      </c>
      <c r="AD21" s="24" t="s">
        <v>41</v>
      </c>
      <c r="AE21" s="24">
        <f t="shared" si="0"/>
        <v>-49.144644160715622</v>
      </c>
      <c r="AF21" s="24">
        <f t="shared" si="1"/>
        <v>-47.96434877202185</v>
      </c>
      <c r="AG21" s="24">
        <f t="shared" si="2"/>
        <v>-46.275350019160832</v>
      </c>
      <c r="AH21" s="24">
        <f t="shared" si="3"/>
        <v>-44.20160625222335</v>
      </c>
      <c r="AI21" s="25">
        <v>50</v>
      </c>
      <c r="AJ21" s="26">
        <v>21.02</v>
      </c>
      <c r="AK21" s="27">
        <v>2281.2260000000001</v>
      </c>
    </row>
    <row r="22" spans="2:37" ht="18">
      <c r="B22" s="39">
        <v>8</v>
      </c>
      <c r="C22" s="40">
        <f t="shared" si="7"/>
        <v>8</v>
      </c>
      <c r="D22" s="41">
        <f t="shared" si="7"/>
        <v>39</v>
      </c>
      <c r="E22" s="41">
        <f t="shared" si="6"/>
        <v>67</v>
      </c>
      <c r="F22" s="41">
        <f t="shared" si="6"/>
        <v>98</v>
      </c>
      <c r="G22" s="41">
        <f t="shared" si="6"/>
        <v>128</v>
      </c>
      <c r="H22" s="41">
        <f t="shared" si="6"/>
        <v>159</v>
      </c>
      <c r="I22" s="41">
        <f t="shared" si="6"/>
        <v>189</v>
      </c>
      <c r="J22" s="41">
        <f t="shared" si="6"/>
        <v>220</v>
      </c>
      <c r="K22" s="41">
        <f t="shared" si="6"/>
        <v>251</v>
      </c>
      <c r="L22" s="41">
        <f t="shared" si="6"/>
        <v>281</v>
      </c>
      <c r="M22" s="41">
        <f t="shared" si="6"/>
        <v>312</v>
      </c>
      <c r="N22" s="42">
        <f t="shared" si="6"/>
        <v>342</v>
      </c>
      <c r="O22" s="15"/>
      <c r="P22" s="55"/>
      <c r="R22" s="25" t="s">
        <v>64</v>
      </c>
      <c r="S22" s="28">
        <f>INT(MOD(S59*3600*24,60))</f>
        <v>53</v>
      </c>
      <c r="T22" s="28">
        <f>INT(MOD(T59*3600*24,60))</f>
        <v>50</v>
      </c>
      <c r="U22" s="28">
        <f>INT(MOD(U59*3600*24,60))</f>
        <v>26</v>
      </c>
      <c r="V22" s="28">
        <f>INT(MOD(V59*3600*24,60))</f>
        <v>51</v>
      </c>
      <c r="AD22" s="24" t="s">
        <v>42</v>
      </c>
      <c r="AE22" s="24">
        <f t="shared" si="0"/>
        <v>44.877677247621776</v>
      </c>
      <c r="AF22" s="24">
        <f t="shared" si="1"/>
        <v>14.078514221380807</v>
      </c>
      <c r="AG22" s="24">
        <f t="shared" si="2"/>
        <v>-38.374918822904114</v>
      </c>
      <c r="AH22" s="24">
        <f t="shared" si="3"/>
        <v>-33.363765593238369</v>
      </c>
      <c r="AI22" s="25">
        <v>45</v>
      </c>
      <c r="AJ22" s="26">
        <v>247.54</v>
      </c>
      <c r="AK22" s="27">
        <v>29929.562000000002</v>
      </c>
    </row>
    <row r="23" spans="2:37" ht="18">
      <c r="B23" s="39">
        <v>9</v>
      </c>
      <c r="C23" s="40">
        <f t="shared" si="7"/>
        <v>9</v>
      </c>
      <c r="D23" s="41">
        <f t="shared" si="7"/>
        <v>40</v>
      </c>
      <c r="E23" s="41">
        <f t="shared" si="6"/>
        <v>68</v>
      </c>
      <c r="F23" s="41">
        <f t="shared" si="6"/>
        <v>99</v>
      </c>
      <c r="G23" s="41">
        <f t="shared" si="6"/>
        <v>129</v>
      </c>
      <c r="H23" s="41">
        <f t="shared" si="6"/>
        <v>160</v>
      </c>
      <c r="I23" s="41">
        <f t="shared" si="6"/>
        <v>190</v>
      </c>
      <c r="J23" s="41">
        <f t="shared" si="6"/>
        <v>221</v>
      </c>
      <c r="K23" s="41">
        <f t="shared" si="6"/>
        <v>252</v>
      </c>
      <c r="L23" s="41">
        <f t="shared" si="6"/>
        <v>282</v>
      </c>
      <c r="M23" s="41">
        <f t="shared" si="6"/>
        <v>313</v>
      </c>
      <c r="N23" s="42">
        <f t="shared" si="6"/>
        <v>343</v>
      </c>
      <c r="O23" s="15"/>
      <c r="P23" s="55"/>
      <c r="R23" s="25" t="s">
        <v>65</v>
      </c>
      <c r="S23" s="25">
        <f>INT(S16+S28+(INT(INT((4*S16+S29)/146097)*3)/4)+S30)</f>
        <v>2461438</v>
      </c>
      <c r="T23" s="25">
        <f>INT(T16+T28+(INT(INT((4*T16+T29)/146097)*3)/4)+T30)</f>
        <v>2461531</v>
      </c>
      <c r="U23" s="25">
        <f>INT(U16+U28+(INT(INT((4*U16+U29)/146097)*3)/4)+U30)</f>
        <v>2461625</v>
      </c>
      <c r="V23" s="25">
        <f>INT(V16+V28+(INT(INT((4*V16+V29)/146097)*3)/4)+V30)</f>
        <v>2461715</v>
      </c>
      <c r="AD23" s="24" t="s">
        <v>43</v>
      </c>
      <c r="AE23" s="24">
        <f t="shared" si="0"/>
        <v>-0.73452273957769465</v>
      </c>
      <c r="AF23" s="24">
        <f t="shared" si="1"/>
        <v>-43.46788232842777</v>
      </c>
      <c r="AG23" s="24">
        <f t="shared" si="2"/>
        <v>-13.598941407878382</v>
      </c>
      <c r="AH23" s="24">
        <f t="shared" si="3"/>
        <v>37.962681052497395</v>
      </c>
      <c r="AI23" s="25">
        <v>44</v>
      </c>
      <c r="AJ23" s="26">
        <v>325.14999999999998</v>
      </c>
      <c r="AK23" s="27">
        <v>31555.955999999998</v>
      </c>
    </row>
    <row r="24" spans="2:37" ht="18">
      <c r="B24" s="39">
        <v>10</v>
      </c>
      <c r="C24" s="40">
        <f t="shared" si="7"/>
        <v>10</v>
      </c>
      <c r="D24" s="41">
        <f t="shared" si="7"/>
        <v>41</v>
      </c>
      <c r="E24" s="41">
        <f t="shared" si="6"/>
        <v>69</v>
      </c>
      <c r="F24" s="41">
        <f t="shared" si="6"/>
        <v>100</v>
      </c>
      <c r="G24" s="41">
        <f t="shared" si="6"/>
        <v>130</v>
      </c>
      <c r="H24" s="41">
        <f t="shared" si="6"/>
        <v>161</v>
      </c>
      <c r="I24" s="41">
        <f t="shared" si="6"/>
        <v>191</v>
      </c>
      <c r="J24" s="41">
        <f t="shared" si="6"/>
        <v>222</v>
      </c>
      <c r="K24" s="41">
        <f t="shared" si="6"/>
        <v>253</v>
      </c>
      <c r="L24" s="41">
        <f t="shared" si="6"/>
        <v>283</v>
      </c>
      <c r="M24" s="41">
        <f t="shared" si="6"/>
        <v>314</v>
      </c>
      <c r="N24" s="42">
        <f t="shared" si="6"/>
        <v>344</v>
      </c>
      <c r="O24" s="15"/>
      <c r="P24" s="55"/>
      <c r="R24" s="25" t="s">
        <v>7</v>
      </c>
      <c r="S24" s="25">
        <f>S31*S23+S32</f>
        <v>9845755</v>
      </c>
      <c r="T24" s="25">
        <f>T31*T23+T32</f>
        <v>9846127</v>
      </c>
      <c r="U24" s="25">
        <f>U31*U23+U32</f>
        <v>9846503</v>
      </c>
      <c r="V24" s="25">
        <f>V31*V23+V32</f>
        <v>9846863</v>
      </c>
      <c r="AD24" s="24" t="s">
        <v>44</v>
      </c>
      <c r="AE24" s="24">
        <f t="shared" si="0"/>
        <v>28.31454181580245</v>
      </c>
      <c r="AF24" s="24">
        <f t="shared" si="1"/>
        <v>26.541097730881983</v>
      </c>
      <c r="AG24" s="24">
        <f t="shared" si="2"/>
        <v>23.7093494398557</v>
      </c>
      <c r="AH24" s="24">
        <f t="shared" si="3"/>
        <v>20.112278744923358</v>
      </c>
      <c r="AI24" s="25">
        <v>29</v>
      </c>
      <c r="AJ24" s="26">
        <v>60.93</v>
      </c>
      <c r="AK24" s="27">
        <v>4443.4170000000004</v>
      </c>
    </row>
    <row r="25" spans="2:37" ht="18">
      <c r="B25" s="39">
        <v>11</v>
      </c>
      <c r="C25" s="40">
        <f t="shared" si="7"/>
        <v>11</v>
      </c>
      <c r="D25" s="41">
        <f t="shared" si="7"/>
        <v>42</v>
      </c>
      <c r="E25" s="41">
        <f t="shared" si="6"/>
        <v>70</v>
      </c>
      <c r="F25" s="41">
        <f t="shared" si="6"/>
        <v>101</v>
      </c>
      <c r="G25" s="41">
        <f t="shared" si="6"/>
        <v>131</v>
      </c>
      <c r="H25" s="41">
        <f t="shared" si="6"/>
        <v>162</v>
      </c>
      <c r="I25" s="41">
        <f t="shared" si="6"/>
        <v>192</v>
      </c>
      <c r="J25" s="41">
        <f t="shared" si="6"/>
        <v>223</v>
      </c>
      <c r="K25" s="41">
        <f t="shared" si="6"/>
        <v>254</v>
      </c>
      <c r="L25" s="41">
        <f t="shared" si="6"/>
        <v>284</v>
      </c>
      <c r="M25" s="41">
        <f t="shared" si="6"/>
        <v>315</v>
      </c>
      <c r="N25" s="42">
        <f t="shared" si="6"/>
        <v>345</v>
      </c>
      <c r="O25" s="15"/>
      <c r="P25" s="55"/>
      <c r="R25" s="25" t="s">
        <v>66</v>
      </c>
      <c r="S25" s="25">
        <f>INT(MOD(S24,S33)/S31)</f>
        <v>19</v>
      </c>
      <c r="T25" s="25">
        <f>INT(MOD(T24,T33)/T31)</f>
        <v>112</v>
      </c>
      <c r="U25" s="25">
        <f>INT(MOD(U24,U33)/U31)</f>
        <v>206</v>
      </c>
      <c r="V25" s="25">
        <f>INT(MOD(V24,V33)/V31)</f>
        <v>296</v>
      </c>
      <c r="AD25" s="24" t="s">
        <v>45</v>
      </c>
      <c r="AE25" s="24">
        <f t="shared" si="0"/>
        <v>17.991936422729896</v>
      </c>
      <c r="AF25" s="24">
        <f t="shared" si="1"/>
        <v>-17.716333414669815</v>
      </c>
      <c r="AG25" s="24">
        <f t="shared" si="2"/>
        <v>17.217347816459185</v>
      </c>
      <c r="AH25" s="24">
        <f t="shared" si="3"/>
        <v>-15.468032739211967</v>
      </c>
      <c r="AI25" s="25">
        <v>18</v>
      </c>
      <c r="AJ25" s="26">
        <v>155.12</v>
      </c>
      <c r="AK25" s="27">
        <v>67555.327999999994</v>
      </c>
    </row>
    <row r="26" spans="2:37" ht="18">
      <c r="B26" s="39">
        <v>12</v>
      </c>
      <c r="C26" s="40">
        <f t="shared" si="7"/>
        <v>12</v>
      </c>
      <c r="D26" s="41">
        <f t="shared" si="7"/>
        <v>43</v>
      </c>
      <c r="E26" s="41">
        <f t="shared" si="6"/>
        <v>71</v>
      </c>
      <c r="F26" s="41">
        <f t="shared" si="6"/>
        <v>102</v>
      </c>
      <c r="G26" s="41">
        <f t="shared" si="6"/>
        <v>132</v>
      </c>
      <c r="H26" s="41">
        <f t="shared" si="6"/>
        <v>163</v>
      </c>
      <c r="I26" s="41">
        <f t="shared" si="6"/>
        <v>193</v>
      </c>
      <c r="J26" s="41">
        <f t="shared" si="6"/>
        <v>224</v>
      </c>
      <c r="K26" s="41">
        <f t="shared" si="6"/>
        <v>255</v>
      </c>
      <c r="L26" s="41">
        <f t="shared" si="6"/>
        <v>285</v>
      </c>
      <c r="M26" s="41">
        <f t="shared" si="6"/>
        <v>316</v>
      </c>
      <c r="N26" s="42">
        <f t="shared" si="6"/>
        <v>346</v>
      </c>
      <c r="O26" s="15"/>
      <c r="P26" s="55"/>
      <c r="R26" s="25" t="s">
        <v>67</v>
      </c>
      <c r="S26" s="25">
        <f>S34*S25+S35</f>
        <v>97</v>
      </c>
      <c r="T26" s="25">
        <f>T34*T25+T35</f>
        <v>562</v>
      </c>
      <c r="U26" s="25">
        <f>U34*U25+U35</f>
        <v>1032</v>
      </c>
      <c r="V26" s="25">
        <f>V34*V25+V35</f>
        <v>1482</v>
      </c>
      <c r="AD26" s="24" t="s">
        <v>46</v>
      </c>
      <c r="AE26" s="24">
        <f t="shared" si="0"/>
        <v>-0.60027822695557886</v>
      </c>
      <c r="AF26" s="24">
        <f t="shared" si="1"/>
        <v>2.8236457136232356</v>
      </c>
      <c r="AG26" s="24">
        <f t="shared" si="2"/>
        <v>6.1642500964705427</v>
      </c>
      <c r="AH26" s="24">
        <f t="shared" si="3"/>
        <v>9.1302650512583661</v>
      </c>
      <c r="AI26" s="25">
        <v>17</v>
      </c>
      <c r="AJ26" s="26">
        <v>288.79000000000002</v>
      </c>
      <c r="AK26" s="27">
        <v>4562.4520000000002</v>
      </c>
    </row>
    <row r="27" spans="2:37" ht="18">
      <c r="B27" s="39">
        <v>13</v>
      </c>
      <c r="C27" s="40">
        <f t="shared" si="7"/>
        <v>13</v>
      </c>
      <c r="D27" s="41">
        <f t="shared" si="7"/>
        <v>44</v>
      </c>
      <c r="E27" s="41">
        <f t="shared" si="6"/>
        <v>72</v>
      </c>
      <c r="F27" s="41">
        <f t="shared" si="6"/>
        <v>103</v>
      </c>
      <c r="G27" s="41">
        <f t="shared" si="6"/>
        <v>133</v>
      </c>
      <c r="H27" s="41">
        <f t="shared" si="6"/>
        <v>164</v>
      </c>
      <c r="I27" s="41">
        <f t="shared" si="6"/>
        <v>194</v>
      </c>
      <c r="J27" s="41">
        <f t="shared" si="6"/>
        <v>225</v>
      </c>
      <c r="K27" s="41">
        <f t="shared" si="6"/>
        <v>256</v>
      </c>
      <c r="L27" s="41">
        <f t="shared" si="6"/>
        <v>286</v>
      </c>
      <c r="M27" s="41">
        <f t="shared" si="6"/>
        <v>317</v>
      </c>
      <c r="N27" s="42">
        <f t="shared" si="6"/>
        <v>347</v>
      </c>
      <c r="O27" s="15"/>
      <c r="P27" s="55"/>
      <c r="R27" s="25"/>
      <c r="S27" s="25"/>
      <c r="T27" s="25"/>
      <c r="U27" s="25"/>
      <c r="V27" s="25"/>
      <c r="AD27" s="24" t="s">
        <v>47</v>
      </c>
      <c r="AE27" s="24">
        <f t="shared" si="0"/>
        <v>12.421870041937375</v>
      </c>
      <c r="AF27" s="24">
        <f t="shared" si="1"/>
        <v>-15.149529818146483</v>
      </c>
      <c r="AG27" s="24">
        <f t="shared" si="2"/>
        <v>15.9999961213758</v>
      </c>
      <c r="AH27" s="24">
        <f t="shared" si="3"/>
        <v>-14.473909397022782</v>
      </c>
      <c r="AI27" s="25">
        <v>16</v>
      </c>
      <c r="AJ27" s="26">
        <v>198.04</v>
      </c>
      <c r="AK27" s="27">
        <v>62894.029000000002</v>
      </c>
    </row>
    <row r="28" spans="2:37" ht="18">
      <c r="B28" s="39">
        <v>14</v>
      </c>
      <c r="C28" s="40">
        <f t="shared" si="7"/>
        <v>14</v>
      </c>
      <c r="D28" s="41">
        <f t="shared" si="7"/>
        <v>45</v>
      </c>
      <c r="E28" s="41">
        <f t="shared" si="6"/>
        <v>73</v>
      </c>
      <c r="F28" s="41">
        <f t="shared" si="6"/>
        <v>104</v>
      </c>
      <c r="G28" s="41">
        <f t="shared" si="6"/>
        <v>134</v>
      </c>
      <c r="H28" s="41">
        <f t="shared" si="6"/>
        <v>165</v>
      </c>
      <c r="I28" s="41">
        <f t="shared" si="6"/>
        <v>195</v>
      </c>
      <c r="J28" s="41">
        <f t="shared" si="6"/>
        <v>226</v>
      </c>
      <c r="K28" s="41">
        <f t="shared" si="6"/>
        <v>257</v>
      </c>
      <c r="L28" s="41">
        <f t="shared" si="6"/>
        <v>287</v>
      </c>
      <c r="M28" s="41">
        <f t="shared" si="6"/>
        <v>318</v>
      </c>
      <c r="N28" s="42">
        <f t="shared" si="6"/>
        <v>348</v>
      </c>
      <c r="O28" s="15"/>
      <c r="P28" s="55"/>
      <c r="R28" s="25" t="s">
        <v>68</v>
      </c>
      <c r="S28" s="25">
        <v>1401</v>
      </c>
      <c r="T28" s="25">
        <v>1401</v>
      </c>
      <c r="U28" s="25">
        <v>1401</v>
      </c>
      <c r="V28" s="25">
        <v>1401</v>
      </c>
      <c r="AD28" s="24" t="s">
        <v>48</v>
      </c>
      <c r="AE28" s="24">
        <f t="shared" si="0"/>
        <v>6.5579704557797873</v>
      </c>
      <c r="AF28" s="24">
        <f t="shared" si="1"/>
        <v>13.333268092215777</v>
      </c>
      <c r="AG28" s="24">
        <f t="shared" si="2"/>
        <v>-2.0367504106067322</v>
      </c>
      <c r="AH28" s="24">
        <f t="shared" si="3"/>
        <v>-13.960710016906777</v>
      </c>
      <c r="AI28" s="25">
        <v>14</v>
      </c>
      <c r="AJ28" s="26">
        <v>199.76</v>
      </c>
      <c r="AK28" s="27">
        <v>31436.920999999998</v>
      </c>
    </row>
    <row r="29" spans="2:37" ht="18">
      <c r="B29" s="39">
        <v>15</v>
      </c>
      <c r="C29" s="40">
        <f t="shared" si="7"/>
        <v>15</v>
      </c>
      <c r="D29" s="41">
        <f t="shared" si="7"/>
        <v>46</v>
      </c>
      <c r="E29" s="41">
        <f t="shared" si="6"/>
        <v>74</v>
      </c>
      <c r="F29" s="41">
        <f t="shared" si="6"/>
        <v>105</v>
      </c>
      <c r="G29" s="41">
        <f t="shared" si="6"/>
        <v>135</v>
      </c>
      <c r="H29" s="41">
        <f t="shared" si="6"/>
        <v>166</v>
      </c>
      <c r="I29" s="41">
        <f t="shared" si="6"/>
        <v>196</v>
      </c>
      <c r="J29" s="41">
        <f t="shared" si="6"/>
        <v>227</v>
      </c>
      <c r="K29" s="41">
        <f t="shared" si="6"/>
        <v>258</v>
      </c>
      <c r="L29" s="41">
        <f t="shared" si="6"/>
        <v>288</v>
      </c>
      <c r="M29" s="41">
        <f t="shared" si="6"/>
        <v>319</v>
      </c>
      <c r="N29" s="42">
        <f t="shared" si="6"/>
        <v>349</v>
      </c>
      <c r="O29" s="15"/>
      <c r="P29" s="55"/>
      <c r="R29" s="25" t="s">
        <v>29</v>
      </c>
      <c r="S29" s="25">
        <v>274277</v>
      </c>
      <c r="T29" s="25">
        <v>274277</v>
      </c>
      <c r="U29" s="25">
        <v>274277</v>
      </c>
      <c r="V29" s="25">
        <v>274277</v>
      </c>
      <c r="AD29" s="24" t="s">
        <v>49</v>
      </c>
      <c r="AE29" s="24">
        <f t="shared" si="0"/>
        <v>-6.0580185297971028</v>
      </c>
      <c r="AF29" s="24">
        <f t="shared" si="1"/>
        <v>1.3988447196956453</v>
      </c>
      <c r="AG29" s="24">
        <f t="shared" si="2"/>
        <v>8.3472204892954256</v>
      </c>
      <c r="AH29" s="24">
        <f t="shared" si="3"/>
        <v>11.815492392743185</v>
      </c>
      <c r="AI29" s="25">
        <v>12</v>
      </c>
      <c r="AJ29" s="26">
        <v>95.39</v>
      </c>
      <c r="AK29" s="27">
        <v>14577.848</v>
      </c>
    </row>
    <row r="30" spans="2:37" ht="18">
      <c r="B30" s="39">
        <v>16</v>
      </c>
      <c r="C30" s="40">
        <f t="shared" si="7"/>
        <v>16</v>
      </c>
      <c r="D30" s="41">
        <f t="shared" si="7"/>
        <v>47</v>
      </c>
      <c r="E30" s="41">
        <f t="shared" si="6"/>
        <v>75</v>
      </c>
      <c r="F30" s="41">
        <f t="shared" si="6"/>
        <v>106</v>
      </c>
      <c r="G30" s="41">
        <f t="shared" si="6"/>
        <v>136</v>
      </c>
      <c r="H30" s="41">
        <f t="shared" si="6"/>
        <v>167</v>
      </c>
      <c r="I30" s="41">
        <f t="shared" si="6"/>
        <v>197</v>
      </c>
      <c r="J30" s="41">
        <f t="shared" si="6"/>
        <v>228</v>
      </c>
      <c r="K30" s="41">
        <f t="shared" si="6"/>
        <v>259</v>
      </c>
      <c r="L30" s="41">
        <f t="shared" si="6"/>
        <v>289</v>
      </c>
      <c r="M30" s="41">
        <f t="shared" si="6"/>
        <v>320</v>
      </c>
      <c r="N30" s="42">
        <f t="shared" si="6"/>
        <v>350</v>
      </c>
      <c r="O30" s="15"/>
      <c r="P30" s="55"/>
      <c r="R30" s="25" t="s">
        <v>8</v>
      </c>
      <c r="S30" s="25">
        <v>-38</v>
      </c>
      <c r="T30" s="25">
        <v>-38</v>
      </c>
      <c r="U30" s="25">
        <v>-38</v>
      </c>
      <c r="V30" s="25">
        <v>-38</v>
      </c>
      <c r="AD30" s="24" t="s">
        <v>50</v>
      </c>
      <c r="AE30" s="24">
        <f t="shared" si="0"/>
        <v>-9.2139811985380558</v>
      </c>
      <c r="AF30" s="24">
        <f t="shared" si="1"/>
        <v>-9.023806602747273</v>
      </c>
      <c r="AG30" s="24">
        <f t="shared" si="2"/>
        <v>6.5563613004632382</v>
      </c>
      <c r="AH30" s="24">
        <f t="shared" si="3"/>
        <v>11.151407196654414</v>
      </c>
      <c r="AI30" s="25">
        <v>12</v>
      </c>
      <c r="AJ30" s="26">
        <v>287.11</v>
      </c>
      <c r="AK30" s="27">
        <v>31931.756000000001</v>
      </c>
    </row>
    <row r="31" spans="2:37" ht="18">
      <c r="B31" s="39">
        <v>17</v>
      </c>
      <c r="C31" s="40">
        <f t="shared" si="7"/>
        <v>17</v>
      </c>
      <c r="D31" s="41">
        <f t="shared" si="7"/>
        <v>48</v>
      </c>
      <c r="E31" s="41">
        <f t="shared" si="6"/>
        <v>76</v>
      </c>
      <c r="F31" s="41">
        <f t="shared" si="6"/>
        <v>107</v>
      </c>
      <c r="G31" s="41">
        <f t="shared" si="6"/>
        <v>137</v>
      </c>
      <c r="H31" s="41">
        <f t="shared" si="6"/>
        <v>168</v>
      </c>
      <c r="I31" s="41">
        <f t="shared" si="6"/>
        <v>198</v>
      </c>
      <c r="J31" s="41">
        <f t="shared" si="6"/>
        <v>229</v>
      </c>
      <c r="K31" s="41">
        <f t="shared" si="6"/>
        <v>260</v>
      </c>
      <c r="L31" s="41">
        <f t="shared" si="6"/>
        <v>290</v>
      </c>
      <c r="M31" s="41">
        <f t="shared" si="6"/>
        <v>321</v>
      </c>
      <c r="N31" s="42">
        <f t="shared" si="6"/>
        <v>351</v>
      </c>
      <c r="O31" s="15"/>
      <c r="P31" s="55"/>
      <c r="R31" s="25" t="s">
        <v>69</v>
      </c>
      <c r="S31" s="28">
        <v>4</v>
      </c>
      <c r="T31" s="28">
        <v>4</v>
      </c>
      <c r="U31" s="28">
        <v>4</v>
      </c>
      <c r="V31" s="28">
        <v>4</v>
      </c>
      <c r="AD31" s="24" t="s">
        <v>51</v>
      </c>
      <c r="AE31" s="24">
        <f t="shared" si="0"/>
        <v>-4.9670430807542658</v>
      </c>
      <c r="AF31" s="24">
        <f t="shared" si="1"/>
        <v>-11.06606735244706</v>
      </c>
      <c r="AG31" s="24">
        <f t="shared" si="2"/>
        <v>4.4819129194202567</v>
      </c>
      <c r="AH31" s="24">
        <f t="shared" si="3"/>
        <v>11.445210872016917</v>
      </c>
      <c r="AI31" s="25">
        <v>12</v>
      </c>
      <c r="AJ31" s="26">
        <v>320.81</v>
      </c>
      <c r="AK31" s="27">
        <v>34777.258999999998</v>
      </c>
    </row>
    <row r="32" spans="2:37" ht="18">
      <c r="B32" s="39">
        <v>18</v>
      </c>
      <c r="C32" s="40">
        <f t="shared" si="7"/>
        <v>18</v>
      </c>
      <c r="D32" s="41">
        <f t="shared" si="7"/>
        <v>49</v>
      </c>
      <c r="E32" s="41">
        <f t="shared" si="7"/>
        <v>77</v>
      </c>
      <c r="F32" s="41">
        <f t="shared" si="7"/>
        <v>108</v>
      </c>
      <c r="G32" s="41">
        <f t="shared" si="7"/>
        <v>138</v>
      </c>
      <c r="H32" s="41">
        <f t="shared" si="7"/>
        <v>169</v>
      </c>
      <c r="I32" s="41">
        <f t="shared" si="7"/>
        <v>199</v>
      </c>
      <c r="J32" s="41">
        <f t="shared" si="7"/>
        <v>230</v>
      </c>
      <c r="K32" s="41">
        <f t="shared" si="7"/>
        <v>261</v>
      </c>
      <c r="L32" s="41">
        <f t="shared" si="7"/>
        <v>291</v>
      </c>
      <c r="M32" s="41">
        <f t="shared" si="7"/>
        <v>322</v>
      </c>
      <c r="N32" s="42">
        <f t="shared" si="7"/>
        <v>352</v>
      </c>
      <c r="O32" s="15"/>
      <c r="P32" s="55"/>
      <c r="R32" s="25" t="s">
        <v>9</v>
      </c>
      <c r="S32" s="25">
        <v>3</v>
      </c>
      <c r="T32" s="25">
        <v>3</v>
      </c>
      <c r="U32" s="25">
        <v>3</v>
      </c>
      <c r="V32" s="25">
        <v>3</v>
      </c>
      <c r="AD32" s="24" t="s">
        <v>52</v>
      </c>
      <c r="AE32" s="24">
        <f t="shared" si="0"/>
        <v>-7.9054008873418455</v>
      </c>
      <c r="AF32" s="24">
        <f t="shared" si="1"/>
        <v>-8.1266707486197376</v>
      </c>
      <c r="AG32" s="24">
        <f t="shared" si="2"/>
        <v>-8.3259426574677526</v>
      </c>
      <c r="AH32" s="24">
        <f t="shared" si="3"/>
        <v>-8.4937310465878237</v>
      </c>
      <c r="AI32" s="25">
        <v>9</v>
      </c>
      <c r="AJ32" s="26">
        <v>227.73</v>
      </c>
      <c r="AK32" s="27">
        <v>1222.114</v>
      </c>
    </row>
    <row r="33" spans="2:37" ht="18">
      <c r="B33" s="39">
        <v>19</v>
      </c>
      <c r="C33" s="40">
        <f t="shared" ref="C33:N45" si="8">C32+1</f>
        <v>19</v>
      </c>
      <c r="D33" s="41">
        <f t="shared" si="8"/>
        <v>50</v>
      </c>
      <c r="E33" s="41">
        <f t="shared" si="8"/>
        <v>78</v>
      </c>
      <c r="F33" s="41">
        <f t="shared" si="8"/>
        <v>109</v>
      </c>
      <c r="G33" s="41">
        <f t="shared" si="8"/>
        <v>139</v>
      </c>
      <c r="H33" s="41">
        <f t="shared" si="8"/>
        <v>170</v>
      </c>
      <c r="I33" s="41">
        <f t="shared" si="8"/>
        <v>200</v>
      </c>
      <c r="J33" s="41">
        <f t="shared" si="8"/>
        <v>231</v>
      </c>
      <c r="K33" s="41">
        <f t="shared" si="8"/>
        <v>262</v>
      </c>
      <c r="L33" s="41">
        <f t="shared" si="8"/>
        <v>292</v>
      </c>
      <c r="M33" s="41">
        <f t="shared" si="8"/>
        <v>323</v>
      </c>
      <c r="N33" s="42">
        <f t="shared" si="8"/>
        <v>353</v>
      </c>
      <c r="O33" s="15"/>
      <c r="P33" s="55"/>
      <c r="R33" s="25" t="s">
        <v>70</v>
      </c>
      <c r="S33" s="28">
        <v>1461</v>
      </c>
      <c r="T33" s="28">
        <v>1461</v>
      </c>
      <c r="U33" s="28">
        <v>1461</v>
      </c>
      <c r="V33" s="28">
        <v>1461</v>
      </c>
      <c r="AD33" s="24" t="s">
        <v>53</v>
      </c>
      <c r="AE33" s="24">
        <f t="shared" si="0"/>
        <v>6.8811571273241228</v>
      </c>
      <c r="AF33" s="24">
        <f t="shared" si="1"/>
        <v>7.821102380631002</v>
      </c>
      <c r="AG33" s="24">
        <f t="shared" si="2"/>
        <v>4.5461680973914644</v>
      </c>
      <c r="AH33" s="24">
        <f t="shared" si="3"/>
        <v>-0.95375080524468192</v>
      </c>
      <c r="AI33" s="25">
        <v>8</v>
      </c>
      <c r="AJ33" s="26">
        <v>15.45</v>
      </c>
      <c r="AK33" s="27">
        <v>16859.074000000001</v>
      </c>
    </row>
    <row r="34" spans="2:37">
      <c r="B34" s="39">
        <v>20</v>
      </c>
      <c r="C34" s="40">
        <f t="shared" si="8"/>
        <v>20</v>
      </c>
      <c r="D34" s="41">
        <f t="shared" si="8"/>
        <v>51</v>
      </c>
      <c r="E34" s="41">
        <f t="shared" si="8"/>
        <v>79</v>
      </c>
      <c r="F34" s="41">
        <f t="shared" si="8"/>
        <v>110</v>
      </c>
      <c r="G34" s="41">
        <f t="shared" si="8"/>
        <v>140</v>
      </c>
      <c r="H34" s="41">
        <f t="shared" si="8"/>
        <v>171</v>
      </c>
      <c r="I34" s="41">
        <f t="shared" si="8"/>
        <v>201</v>
      </c>
      <c r="J34" s="41">
        <f t="shared" si="8"/>
        <v>232</v>
      </c>
      <c r="K34" s="41">
        <f t="shared" si="8"/>
        <v>263</v>
      </c>
      <c r="L34" s="41">
        <f t="shared" si="8"/>
        <v>293</v>
      </c>
      <c r="M34" s="41">
        <f t="shared" si="8"/>
        <v>324</v>
      </c>
      <c r="N34" s="42">
        <f t="shared" si="8"/>
        <v>354</v>
      </c>
      <c r="O34" s="15"/>
      <c r="P34" s="55"/>
      <c r="R34" s="25" t="s">
        <v>71</v>
      </c>
      <c r="S34" s="25">
        <v>5</v>
      </c>
      <c r="T34" s="25">
        <v>5</v>
      </c>
      <c r="U34" s="25">
        <v>5</v>
      </c>
      <c r="V34" s="25">
        <v>5</v>
      </c>
      <c r="AD34" s="24" t="s">
        <v>58</v>
      </c>
      <c r="AE34" s="25">
        <f>SUM(AE10:AE33)</f>
        <v>858.00838440103928</v>
      </c>
      <c r="AF34" s="25">
        <f>SUM(AF10:AF33)</f>
        <v>-84.775861396922579</v>
      </c>
      <c r="AG34" s="25">
        <f>SUM(AG10:AG33)</f>
        <v>209.10721466244831</v>
      </c>
      <c r="AH34" s="25">
        <f>SUM(AH10:AH33)</f>
        <v>253.44592303100427</v>
      </c>
    </row>
    <row r="35" spans="2:37">
      <c r="B35" s="39">
        <v>21</v>
      </c>
      <c r="C35" s="40">
        <f t="shared" si="8"/>
        <v>21</v>
      </c>
      <c r="D35" s="41">
        <f t="shared" si="8"/>
        <v>52</v>
      </c>
      <c r="E35" s="41">
        <f t="shared" si="8"/>
        <v>80</v>
      </c>
      <c r="F35" s="41">
        <f t="shared" si="8"/>
        <v>111</v>
      </c>
      <c r="G35" s="41">
        <f t="shared" si="8"/>
        <v>141</v>
      </c>
      <c r="H35" s="41">
        <f t="shared" si="8"/>
        <v>172</v>
      </c>
      <c r="I35" s="41">
        <f t="shared" si="8"/>
        <v>202</v>
      </c>
      <c r="J35" s="41">
        <f t="shared" si="8"/>
        <v>233</v>
      </c>
      <c r="K35" s="41">
        <f t="shared" si="8"/>
        <v>264</v>
      </c>
      <c r="L35" s="41">
        <f t="shared" si="8"/>
        <v>294</v>
      </c>
      <c r="M35" s="41">
        <f t="shared" si="8"/>
        <v>325</v>
      </c>
      <c r="N35" s="42">
        <f t="shared" si="8"/>
        <v>355</v>
      </c>
      <c r="O35" s="15"/>
      <c r="P35" s="55"/>
      <c r="R35" s="25" t="s">
        <v>72</v>
      </c>
      <c r="S35" s="25">
        <v>2</v>
      </c>
      <c r="T35" s="25">
        <v>2</v>
      </c>
      <c r="U35" s="25">
        <v>2</v>
      </c>
      <c r="V35" s="25">
        <v>2</v>
      </c>
    </row>
    <row r="36" spans="2:37">
      <c r="B36" s="39">
        <v>22</v>
      </c>
      <c r="C36" s="40">
        <f t="shared" si="8"/>
        <v>22</v>
      </c>
      <c r="D36" s="41">
        <f t="shared" si="8"/>
        <v>53</v>
      </c>
      <c r="E36" s="41">
        <f t="shared" si="8"/>
        <v>81</v>
      </c>
      <c r="F36" s="41">
        <f t="shared" si="8"/>
        <v>112</v>
      </c>
      <c r="G36" s="41">
        <f t="shared" si="8"/>
        <v>142</v>
      </c>
      <c r="H36" s="41">
        <f t="shared" si="8"/>
        <v>173</v>
      </c>
      <c r="I36" s="41">
        <f t="shared" si="8"/>
        <v>203</v>
      </c>
      <c r="J36" s="41">
        <f t="shared" si="8"/>
        <v>234</v>
      </c>
      <c r="K36" s="41">
        <f t="shared" si="8"/>
        <v>265</v>
      </c>
      <c r="L36" s="41">
        <f t="shared" si="8"/>
        <v>295</v>
      </c>
      <c r="M36" s="41">
        <f t="shared" si="8"/>
        <v>326</v>
      </c>
      <c r="N36" s="42">
        <f t="shared" si="8"/>
        <v>356</v>
      </c>
      <c r="O36" s="15"/>
      <c r="P36" s="55"/>
      <c r="R36" s="25" t="s">
        <v>73</v>
      </c>
      <c r="S36" s="28">
        <v>153</v>
      </c>
      <c r="T36" s="28">
        <v>153</v>
      </c>
      <c r="U36" s="28">
        <v>153</v>
      </c>
      <c r="V36" s="28">
        <v>153</v>
      </c>
    </row>
    <row r="37" spans="2:37">
      <c r="B37" s="39">
        <v>23</v>
      </c>
      <c r="C37" s="40">
        <f t="shared" si="8"/>
        <v>23</v>
      </c>
      <c r="D37" s="41">
        <f t="shared" si="8"/>
        <v>54</v>
      </c>
      <c r="E37" s="41">
        <f t="shared" si="8"/>
        <v>82</v>
      </c>
      <c r="F37" s="41">
        <f t="shared" si="8"/>
        <v>113</v>
      </c>
      <c r="G37" s="41">
        <f t="shared" si="8"/>
        <v>143</v>
      </c>
      <c r="H37" s="41">
        <f t="shared" si="8"/>
        <v>174</v>
      </c>
      <c r="I37" s="41">
        <f t="shared" si="8"/>
        <v>204</v>
      </c>
      <c r="J37" s="41">
        <f t="shared" si="8"/>
        <v>235</v>
      </c>
      <c r="K37" s="41">
        <f t="shared" si="8"/>
        <v>266</v>
      </c>
      <c r="L37" s="41">
        <f t="shared" si="8"/>
        <v>296</v>
      </c>
      <c r="M37" s="41">
        <f t="shared" si="8"/>
        <v>327</v>
      </c>
      <c r="N37" s="42">
        <f t="shared" si="8"/>
        <v>357</v>
      </c>
      <c r="O37" s="15"/>
      <c r="P37" s="55"/>
    </row>
    <row r="38" spans="2:37">
      <c r="B38" s="39">
        <v>24</v>
      </c>
      <c r="C38" s="40">
        <f t="shared" si="8"/>
        <v>24</v>
      </c>
      <c r="D38" s="41">
        <f t="shared" si="8"/>
        <v>55</v>
      </c>
      <c r="E38" s="41">
        <f t="shared" si="8"/>
        <v>83</v>
      </c>
      <c r="F38" s="41">
        <f t="shared" si="8"/>
        <v>114</v>
      </c>
      <c r="G38" s="41">
        <f t="shared" si="8"/>
        <v>144</v>
      </c>
      <c r="H38" s="41">
        <f t="shared" si="8"/>
        <v>175</v>
      </c>
      <c r="I38" s="41">
        <f t="shared" si="8"/>
        <v>205</v>
      </c>
      <c r="J38" s="41">
        <f t="shared" si="8"/>
        <v>236</v>
      </c>
      <c r="K38" s="41">
        <f t="shared" si="8"/>
        <v>267</v>
      </c>
      <c r="L38" s="41">
        <f t="shared" si="8"/>
        <v>297</v>
      </c>
      <c r="M38" s="41">
        <f t="shared" si="8"/>
        <v>328</v>
      </c>
      <c r="N38" s="42">
        <f t="shared" si="8"/>
        <v>358</v>
      </c>
      <c r="O38" s="15"/>
      <c r="P38" s="55"/>
    </row>
    <row r="39" spans="2:37">
      <c r="B39" s="39">
        <v>25</v>
      </c>
      <c r="C39" s="40">
        <f t="shared" si="8"/>
        <v>25</v>
      </c>
      <c r="D39" s="41">
        <f t="shared" si="8"/>
        <v>56</v>
      </c>
      <c r="E39" s="41">
        <f t="shared" si="8"/>
        <v>84</v>
      </c>
      <c r="F39" s="41">
        <f t="shared" si="8"/>
        <v>115</v>
      </c>
      <c r="G39" s="41">
        <f t="shared" si="8"/>
        <v>145</v>
      </c>
      <c r="H39" s="41">
        <f t="shared" si="8"/>
        <v>176</v>
      </c>
      <c r="I39" s="41">
        <f t="shared" si="8"/>
        <v>206</v>
      </c>
      <c r="J39" s="41">
        <f t="shared" si="8"/>
        <v>237</v>
      </c>
      <c r="K39" s="41">
        <f t="shared" si="8"/>
        <v>268</v>
      </c>
      <c r="L39" s="41">
        <f t="shared" si="8"/>
        <v>298</v>
      </c>
      <c r="M39" s="41">
        <f t="shared" si="8"/>
        <v>329</v>
      </c>
      <c r="N39" s="42">
        <f t="shared" si="8"/>
        <v>359</v>
      </c>
      <c r="O39" s="15"/>
      <c r="P39" s="55"/>
    </row>
    <row r="40" spans="2:37">
      <c r="B40" s="39">
        <v>26</v>
      </c>
      <c r="C40" s="40">
        <f t="shared" si="8"/>
        <v>26</v>
      </c>
      <c r="D40" s="41">
        <f t="shared" si="8"/>
        <v>57</v>
      </c>
      <c r="E40" s="41">
        <f t="shared" si="8"/>
        <v>85</v>
      </c>
      <c r="F40" s="41">
        <f t="shared" si="8"/>
        <v>116</v>
      </c>
      <c r="G40" s="41">
        <f t="shared" si="8"/>
        <v>146</v>
      </c>
      <c r="H40" s="41">
        <f t="shared" si="8"/>
        <v>177</v>
      </c>
      <c r="I40" s="41">
        <f t="shared" si="8"/>
        <v>207</v>
      </c>
      <c r="J40" s="41">
        <f t="shared" si="8"/>
        <v>238</v>
      </c>
      <c r="K40" s="41">
        <f t="shared" si="8"/>
        <v>269</v>
      </c>
      <c r="L40" s="41">
        <f t="shared" si="8"/>
        <v>299</v>
      </c>
      <c r="M40" s="41">
        <f t="shared" si="8"/>
        <v>330</v>
      </c>
      <c r="N40" s="42">
        <f t="shared" si="8"/>
        <v>360</v>
      </c>
      <c r="O40" s="15"/>
      <c r="P40" s="55"/>
    </row>
    <row r="41" spans="2:37">
      <c r="B41" s="39">
        <v>27</v>
      </c>
      <c r="C41" s="40">
        <f t="shared" si="8"/>
        <v>27</v>
      </c>
      <c r="D41" s="41">
        <f t="shared" si="8"/>
        <v>58</v>
      </c>
      <c r="E41" s="41">
        <f t="shared" si="8"/>
        <v>86</v>
      </c>
      <c r="F41" s="41">
        <f t="shared" si="8"/>
        <v>117</v>
      </c>
      <c r="G41" s="41">
        <f t="shared" si="8"/>
        <v>147</v>
      </c>
      <c r="H41" s="41">
        <f t="shared" si="8"/>
        <v>178</v>
      </c>
      <c r="I41" s="41">
        <f t="shared" si="8"/>
        <v>208</v>
      </c>
      <c r="J41" s="41">
        <f t="shared" si="8"/>
        <v>239</v>
      </c>
      <c r="K41" s="41">
        <f t="shared" si="8"/>
        <v>270</v>
      </c>
      <c r="L41" s="41">
        <f t="shared" si="8"/>
        <v>300</v>
      </c>
      <c r="M41" s="41">
        <f t="shared" si="8"/>
        <v>331</v>
      </c>
      <c r="N41" s="42">
        <f t="shared" si="8"/>
        <v>361</v>
      </c>
      <c r="O41" s="15"/>
      <c r="P41" s="55"/>
    </row>
    <row r="42" spans="2:37">
      <c r="B42" s="39">
        <v>28</v>
      </c>
      <c r="C42" s="40">
        <f t="shared" si="8"/>
        <v>28</v>
      </c>
      <c r="D42" s="41">
        <f t="shared" si="8"/>
        <v>59</v>
      </c>
      <c r="E42" s="41">
        <f t="shared" si="8"/>
        <v>87</v>
      </c>
      <c r="F42" s="41">
        <f t="shared" si="8"/>
        <v>118</v>
      </c>
      <c r="G42" s="41">
        <f t="shared" si="8"/>
        <v>148</v>
      </c>
      <c r="H42" s="41">
        <f t="shared" si="8"/>
        <v>179</v>
      </c>
      <c r="I42" s="41">
        <f t="shared" si="8"/>
        <v>209</v>
      </c>
      <c r="J42" s="41">
        <f t="shared" si="8"/>
        <v>240</v>
      </c>
      <c r="K42" s="41">
        <f t="shared" si="8"/>
        <v>271</v>
      </c>
      <c r="L42" s="41">
        <f t="shared" si="8"/>
        <v>301</v>
      </c>
      <c r="M42" s="41">
        <f t="shared" si="8"/>
        <v>332</v>
      </c>
      <c r="N42" s="42">
        <f t="shared" si="8"/>
        <v>362</v>
      </c>
      <c r="O42" s="15"/>
      <c r="P42" s="55"/>
    </row>
    <row r="43" spans="2:37">
      <c r="B43" s="39">
        <v>29</v>
      </c>
      <c r="C43" s="40">
        <f t="shared" si="8"/>
        <v>29</v>
      </c>
      <c r="D43" s="41" t="str">
        <f>IF(C4="Y",D42+1,"")</f>
        <v/>
      </c>
      <c r="E43" s="41">
        <f t="shared" si="8"/>
        <v>88</v>
      </c>
      <c r="F43" s="41">
        <f t="shared" si="8"/>
        <v>119</v>
      </c>
      <c r="G43" s="41">
        <f t="shared" si="8"/>
        <v>149</v>
      </c>
      <c r="H43" s="41">
        <f t="shared" si="8"/>
        <v>180</v>
      </c>
      <c r="I43" s="41">
        <f t="shared" si="8"/>
        <v>210</v>
      </c>
      <c r="J43" s="41">
        <f t="shared" si="8"/>
        <v>241</v>
      </c>
      <c r="K43" s="41">
        <f t="shared" si="8"/>
        <v>272</v>
      </c>
      <c r="L43" s="41">
        <f t="shared" si="8"/>
        <v>302</v>
      </c>
      <c r="M43" s="41">
        <f t="shared" si="8"/>
        <v>333</v>
      </c>
      <c r="N43" s="42">
        <f t="shared" si="8"/>
        <v>363</v>
      </c>
      <c r="O43" s="15"/>
      <c r="P43" s="55"/>
    </row>
    <row r="44" spans="2:37">
      <c r="B44" s="39">
        <v>30</v>
      </c>
      <c r="C44" s="40">
        <f t="shared" si="8"/>
        <v>30</v>
      </c>
      <c r="D44" s="41"/>
      <c r="E44" s="41">
        <f t="shared" si="8"/>
        <v>89</v>
      </c>
      <c r="F44" s="41">
        <f t="shared" si="8"/>
        <v>120</v>
      </c>
      <c r="G44" s="41">
        <f t="shared" si="8"/>
        <v>150</v>
      </c>
      <c r="H44" s="41">
        <f t="shared" si="8"/>
        <v>181</v>
      </c>
      <c r="I44" s="41">
        <f t="shared" si="8"/>
        <v>211</v>
      </c>
      <c r="J44" s="41">
        <f t="shared" si="8"/>
        <v>242</v>
      </c>
      <c r="K44" s="41">
        <f t="shared" si="8"/>
        <v>273</v>
      </c>
      <c r="L44" s="41">
        <f t="shared" si="8"/>
        <v>303</v>
      </c>
      <c r="M44" s="41">
        <f t="shared" si="8"/>
        <v>334</v>
      </c>
      <c r="N44" s="42">
        <f t="shared" si="8"/>
        <v>364</v>
      </c>
      <c r="O44" s="15"/>
      <c r="P44" s="55"/>
    </row>
    <row r="45" spans="2:37">
      <c r="B45" s="43">
        <v>31</v>
      </c>
      <c r="C45" s="44">
        <f t="shared" si="8"/>
        <v>31</v>
      </c>
      <c r="D45" s="45"/>
      <c r="E45" s="45">
        <f t="shared" si="8"/>
        <v>90</v>
      </c>
      <c r="F45" s="45"/>
      <c r="G45" s="45">
        <f t="shared" si="8"/>
        <v>151</v>
      </c>
      <c r="H45" s="45"/>
      <c r="I45" s="45">
        <f t="shared" si="8"/>
        <v>212</v>
      </c>
      <c r="J45" s="45">
        <f t="shared" si="8"/>
        <v>243</v>
      </c>
      <c r="K45" s="45"/>
      <c r="L45" s="45">
        <f t="shared" si="8"/>
        <v>304</v>
      </c>
      <c r="M45" s="45"/>
      <c r="N45" s="46">
        <f t="shared" si="8"/>
        <v>365</v>
      </c>
      <c r="O45" s="15"/>
      <c r="P45" s="55"/>
    </row>
    <row r="46" spans="2:37">
      <c r="C46" s="32"/>
      <c r="D46" s="33"/>
      <c r="O46" s="15"/>
      <c r="P46" s="55"/>
    </row>
    <row r="47" spans="2:37">
      <c r="C47" s="32"/>
      <c r="D47" s="33"/>
      <c r="O47" s="15"/>
      <c r="P47" s="55"/>
    </row>
    <row r="48" spans="2:37">
      <c r="C48" s="32"/>
      <c r="D48" s="33"/>
      <c r="O48" s="15"/>
      <c r="P48" s="55"/>
    </row>
    <row r="49" spans="3:22">
      <c r="C49" s="32"/>
      <c r="D49" s="33"/>
      <c r="O49" s="15"/>
      <c r="P49" s="55"/>
    </row>
    <row r="50" spans="3:22">
      <c r="P50" s="55"/>
    </row>
    <row r="51" spans="3:22">
      <c r="P51" s="55"/>
    </row>
    <row r="52" spans="3:22">
      <c r="P52" s="55"/>
    </row>
    <row r="53" spans="3:22">
      <c r="P53" s="55"/>
    </row>
    <row r="54" spans="3:22">
      <c r="P54" s="55"/>
    </row>
    <row r="57" spans="3:22">
      <c r="R57" s="25" t="s">
        <v>74</v>
      </c>
      <c r="S57" s="28">
        <v>2</v>
      </c>
      <c r="T57" s="28">
        <v>2</v>
      </c>
      <c r="U57" s="28">
        <v>2</v>
      </c>
      <c r="V57" s="28">
        <v>2</v>
      </c>
    </row>
    <row r="58" spans="3:22">
      <c r="R58" s="25" t="s">
        <v>75</v>
      </c>
      <c r="S58" s="28">
        <v>12</v>
      </c>
      <c r="T58" s="28">
        <v>12</v>
      </c>
      <c r="U58" s="28">
        <v>12</v>
      </c>
      <c r="V58" s="28">
        <v>12</v>
      </c>
    </row>
    <row r="59" spans="3:22">
      <c r="R59" s="25" t="s">
        <v>76</v>
      </c>
      <c r="S59" s="29">
        <f>MOD(S15-INT(S15)+0.5,1)</f>
        <v>0.8929798174649477</v>
      </c>
      <c r="T59" s="29">
        <f>MOD(T15-INT(T15)+0.5,1)</f>
        <v>0.62419492565095425</v>
      </c>
      <c r="U59" s="29">
        <f>MOD(U15-INT(U15)+0.5,1)</f>
        <v>0.28572438657283783</v>
      </c>
      <c r="V59" s="29">
        <f>MOD(V15-INT(V15)+0.5,1)</f>
        <v>0.14503722079098225</v>
      </c>
    </row>
  </sheetData>
  <sheetProtection sheet="1" objects="1" scenarios="1"/>
  <mergeCells count="2">
    <mergeCell ref="B13:N13"/>
    <mergeCell ref="X9:Y9"/>
  </mergeCells>
  <phoneticPr fontId="21" type="noConversion"/>
  <conditionalFormatting sqref="B15:N45">
    <cfRule type="expression" dxfId="4" priority="5" stopIfTrue="1">
      <formula>MOD(ROW(),2)=1</formula>
    </cfRule>
  </conditionalFormatting>
  <conditionalFormatting sqref="C15:N45">
    <cfRule type="cellIs" dxfId="3" priority="1" operator="equal">
      <formula>$E$7</formula>
    </cfRule>
    <cfRule type="cellIs" dxfId="2" priority="2" operator="equal">
      <formula>$E$8</formula>
    </cfRule>
    <cfRule type="cellIs" dxfId="1" priority="3" operator="equal">
      <formula>$E$9</formula>
    </cfRule>
    <cfRule type="cellIs" dxfId="0" priority="4" operator="equal">
      <formula>$E$10</formula>
    </cfRule>
  </conditionalFormatting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3031A-8C19-A948-843A-B4313A7D53D9}">
  <dimension ref="A1"/>
  <sheetViews>
    <sheetView showGridLines="0" workbookViewId="0">
      <selection activeCell="L23" sqref="L23"/>
    </sheetView>
  </sheetViews>
  <sheetFormatPr baseColWidth="10" defaultRowHeight="15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Equinoxes, Solstices</vt:lpstr>
      <vt:lpstr>Background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Equinoxes and Solstices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2024-05-15T16:09:19Z</dcterms:modified>
  <cp:category/>
</cp:coreProperties>
</file>